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4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tonzolete/Desktop/Felipe SP/Agrese 2022 /CPAC/"/>
    </mc:Choice>
  </mc:AlternateContent>
  <xr:revisionPtr revIDLastSave="0" documentId="13_ncr:1_{61476120-95CD-7644-A0C4-E6D0D5EBDC41}" xr6:coauthVersionLast="45" xr6:coauthVersionMax="45" xr10:uidLastSave="{00000000-0000-0000-0000-000000000000}"/>
  <bookViews>
    <workbookView xWindow="0" yWindow="460" windowWidth="28800" windowHeight="16200" tabRatio="961" xr2:uid="{00000000-000D-0000-FFFF-FFFF00000000}"/>
  </bookViews>
  <sheets>
    <sheet name="Invest. em Pre e Implantação" sheetId="2" r:id="rId1"/>
    <sheet name="Reinvestimento" sheetId="9" r:id="rId2"/>
    <sheet name="Encerramento e Monitoramento" sheetId="10" r:id="rId3"/>
    <sheet name="Gravimetria" sheetId="3" r:id="rId4"/>
    <sheet name="Receitas" sheetId="4" r:id="rId5"/>
    <sheet name="Pessoal" sheetId="17" r:id="rId6"/>
    <sheet name="Encargos sociais" sheetId="18" r:id="rId7"/>
    <sheet name="Custos de Operação" sheetId="6" r:id="rId8"/>
    <sheet name="Impostos" sheetId="11" r:id="rId9"/>
    <sheet name="Depreciação" sheetId="12" r:id="rId10"/>
    <sheet name="Fin. BNB" sheetId="14" state="hidden" r:id="rId11"/>
    <sheet name="DRE" sheetId="7" r:id="rId12"/>
    <sheet name="Capital de Giro" sheetId="15" r:id="rId13"/>
    <sheet name="Fluxo de Caixa" sheetId="13" r:id="rId14"/>
    <sheet name="Custo de Capital" sheetId="16" r:id="rId15"/>
    <sheet name="Indicadores de rentabilidade" sheetId="8" r:id="rId16"/>
  </sheets>
  <externalReferences>
    <externalReference r:id="rId17"/>
    <externalReference r:id="rId18"/>
    <externalReference r:id="rId19"/>
  </externalReferences>
  <definedNames>
    <definedName name="CONNUTRI">#REF!</definedName>
    <definedName name="CONSOLIDADO___BANCO_DO_NORDESTE">#REF!</definedName>
    <definedName name="Monte_Tabor_Centro_Ítalo_Brasileiro_de_Promoção_Sanitária">#REF!</definedName>
    <definedName name="ONCOLOGIA_CLÍNICA">#REF!</definedName>
    <definedName name="PNEUMOLOGIA">#REF!</definedName>
    <definedName name="QuantitativoPessoal">#REF!</definedName>
    <definedName name="RENÚNCIA_DE_RECEITAS">#REF!</definedName>
    <definedName name="Retorno">#REF!</definedName>
    <definedName name="UROLOGIA">#REF!</definedName>
    <definedName name="Volta">#REF!</definedName>
    <definedName name="YURI_MASCARENHAS___NEUROCIRURGIÃ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4" l="1"/>
  <c r="S4" i="4"/>
  <c r="C31" i="17" l="1"/>
  <c r="C29" i="17"/>
  <c r="C28" i="17"/>
  <c r="C27" i="17"/>
  <c r="C26" i="17"/>
  <c r="C17" i="17"/>
  <c r="C16" i="17"/>
  <c r="C15" i="17"/>
  <c r="C14" i="17"/>
  <c r="C13" i="17"/>
  <c r="C9" i="17"/>
  <c r="C8" i="17"/>
  <c r="F9" i="2"/>
  <c r="I15" i="17"/>
  <c r="E7" i="4"/>
  <c r="E8" i="4"/>
  <c r="E5" i="4" l="1"/>
  <c r="F10" i="10"/>
  <c r="F9" i="10"/>
  <c r="F40" i="9"/>
  <c r="F39" i="9"/>
  <c r="F38" i="9"/>
  <c r="F37" i="9"/>
  <c r="F34" i="9"/>
  <c r="F33" i="9"/>
  <c r="F32" i="9"/>
  <c r="F31" i="9"/>
  <c r="F29" i="9" s="1"/>
  <c r="F30" i="9"/>
  <c r="F10" i="9"/>
  <c r="F13" i="9"/>
  <c r="F9" i="9"/>
  <c r="I9" i="9" s="1"/>
  <c r="F26" i="9"/>
  <c r="F25" i="9"/>
  <c r="F24" i="9"/>
  <c r="F23" i="9"/>
  <c r="F22" i="9"/>
  <c r="F21" i="9"/>
  <c r="F20" i="9"/>
  <c r="F19" i="9"/>
  <c r="D37" i="9"/>
  <c r="E16" i="9"/>
  <c r="D16" i="9"/>
  <c r="F16" i="9" s="1"/>
  <c r="D15" i="9"/>
  <c r="D14" i="9"/>
  <c r="F14" i="9" s="1"/>
  <c r="D12" i="9"/>
  <c r="F12" i="9" s="1"/>
  <c r="D11" i="9"/>
  <c r="F11" i="9" s="1"/>
  <c r="F132" i="2"/>
  <c r="F128" i="2"/>
  <c r="F124" i="2"/>
  <c r="F123" i="2"/>
  <c r="F122" i="2"/>
  <c r="F121" i="2"/>
  <c r="F120" i="2"/>
  <c r="F119" i="2"/>
  <c r="F115" i="2"/>
  <c r="F114" i="2"/>
  <c r="F113" i="2"/>
  <c r="F111" i="2"/>
  <c r="F108" i="2"/>
  <c r="F107" i="2"/>
  <c r="F106" i="2"/>
  <c r="F105" i="2"/>
  <c r="F104" i="2"/>
  <c r="F103" i="2"/>
  <c r="F101" i="2"/>
  <c r="F100" i="2"/>
  <c r="F99" i="2"/>
  <c r="F98" i="2"/>
  <c r="F97" i="2"/>
  <c r="F96" i="2"/>
  <c r="F95" i="2"/>
  <c r="F94" i="2"/>
  <c r="F92" i="2"/>
  <c r="F84" i="2"/>
  <c r="F85" i="2"/>
  <c r="F86" i="2"/>
  <c r="F87" i="2"/>
  <c r="F88" i="2"/>
  <c r="F89" i="2"/>
  <c r="F90" i="2"/>
  <c r="F91" i="2"/>
  <c r="F82" i="2"/>
  <c r="F61" i="2"/>
  <c r="F64" i="2"/>
  <c r="F66" i="2"/>
  <c r="F69" i="2"/>
  <c r="F73" i="2"/>
  <c r="F74" i="2"/>
  <c r="F75" i="2"/>
  <c r="F76" i="2"/>
  <c r="F53" i="2"/>
  <c r="F54" i="2"/>
  <c r="F55" i="2"/>
  <c r="F52" i="2"/>
  <c r="F49" i="2"/>
  <c r="F45" i="2"/>
  <c r="F46" i="2"/>
  <c r="F43" i="2" s="1"/>
  <c r="F44" i="2"/>
  <c r="F27" i="2"/>
  <c r="F31" i="2"/>
  <c r="F33" i="2"/>
  <c r="F35" i="2"/>
  <c r="F39" i="2"/>
  <c r="F41" i="2"/>
  <c r="F19" i="2"/>
  <c r="F23" i="2"/>
  <c r="F10" i="2"/>
  <c r="F11" i="2"/>
  <c r="F12" i="2"/>
  <c r="F13" i="2"/>
  <c r="F14" i="2"/>
  <c r="F15" i="2"/>
  <c r="F8" i="2"/>
  <c r="E116" i="2"/>
  <c r="F116" i="2" s="1"/>
  <c r="D112" i="2"/>
  <c r="F112" i="2" s="1"/>
  <c r="E83" i="2"/>
  <c r="F83" i="2" s="1"/>
  <c r="E78" i="2"/>
  <c r="F78" i="2" s="1"/>
  <c r="E77" i="2"/>
  <c r="D77" i="2"/>
  <c r="D75" i="2"/>
  <c r="D60" i="2" s="1"/>
  <c r="F60" i="2" s="1"/>
  <c r="E72" i="2"/>
  <c r="F72" i="2" s="1"/>
  <c r="E71" i="2"/>
  <c r="F71" i="2" s="1"/>
  <c r="E70" i="2"/>
  <c r="F70" i="2" s="1"/>
  <c r="D68" i="2"/>
  <c r="F68" i="2" s="1"/>
  <c r="D67" i="2"/>
  <c r="E67" i="2" s="1"/>
  <c r="F67" i="2" s="1"/>
  <c r="D65" i="2"/>
  <c r="F65" i="2" s="1"/>
  <c r="D63" i="2"/>
  <c r="F63" i="2" s="1"/>
  <c r="D62" i="2"/>
  <c r="F62" i="2" s="1"/>
  <c r="D59" i="2"/>
  <c r="F59" i="2" s="1"/>
  <c r="D49" i="2"/>
  <c r="E41" i="2"/>
  <c r="E40" i="2"/>
  <c r="F40" i="2" s="1"/>
  <c r="E39" i="2"/>
  <c r="E38" i="2"/>
  <c r="F38" i="2" s="1"/>
  <c r="E37" i="2"/>
  <c r="F37" i="2" s="1"/>
  <c r="E36" i="2"/>
  <c r="F36" i="2" s="1"/>
  <c r="E35" i="2"/>
  <c r="E34" i="2"/>
  <c r="F34" i="2" s="1"/>
  <c r="E33" i="2"/>
  <c r="E32" i="2"/>
  <c r="F32" i="2" s="1"/>
  <c r="E31" i="2"/>
  <c r="E30" i="2"/>
  <c r="F30" i="2" s="1"/>
  <c r="E29" i="2"/>
  <c r="F29" i="2" s="1"/>
  <c r="E28" i="2"/>
  <c r="F28" i="2" s="1"/>
  <c r="E27" i="2"/>
  <c r="E26" i="2"/>
  <c r="F26" i="2" s="1"/>
  <c r="E23" i="2"/>
  <c r="E22" i="2"/>
  <c r="F22" i="2" s="1"/>
  <c r="E21" i="2"/>
  <c r="F21" i="2" s="1"/>
  <c r="E20" i="2"/>
  <c r="F20" i="2" s="1"/>
  <c r="E19" i="2"/>
  <c r="E18" i="2"/>
  <c r="F18" i="2" s="1"/>
  <c r="L6" i="2"/>
  <c r="J6" i="2"/>
  <c r="F77" i="2" l="1"/>
  <c r="F102" i="2"/>
  <c r="F18" i="9"/>
  <c r="F51" i="2"/>
  <c r="F93" i="2"/>
  <c r="F48" i="2"/>
  <c r="F7" i="2"/>
  <c r="F110" i="2"/>
  <c r="F118" i="2"/>
  <c r="F36" i="9"/>
  <c r="E15" i="9"/>
  <c r="F15" i="9" s="1"/>
  <c r="F81" i="2"/>
  <c r="F17" i="2"/>
  <c r="F25" i="2"/>
  <c r="F58" i="2"/>
  <c r="F80" i="2" l="1"/>
  <c r="F8" i="9"/>
  <c r="F44" i="9"/>
  <c r="F6" i="2"/>
  <c r="E127" i="2"/>
  <c r="F127" i="2" l="1"/>
  <c r="F126" i="2" s="1"/>
  <c r="G31" i="9"/>
  <c r="G23" i="9"/>
  <c r="G19" i="9"/>
  <c r="G33" i="9"/>
  <c r="G25" i="9"/>
  <c r="G21" i="9"/>
  <c r="G12" i="9"/>
  <c r="G37" i="9"/>
  <c r="G32" i="9"/>
  <c r="G22" i="9"/>
  <c r="G30" i="9"/>
  <c r="G9" i="9"/>
  <c r="G10" i="9"/>
  <c r="G34" i="9"/>
  <c r="G24" i="9"/>
  <c r="G14" i="9"/>
  <c r="G40" i="9"/>
  <c r="G16" i="9"/>
  <c r="G38" i="9"/>
  <c r="G26" i="9"/>
  <c r="G20" i="9"/>
  <c r="G39" i="9"/>
  <c r="G13" i="9"/>
  <c r="G11" i="9"/>
  <c r="G15" i="9"/>
  <c r="G36" i="9" l="1"/>
  <c r="E131" i="2"/>
  <c r="G29" i="9"/>
  <c r="G18" i="9"/>
  <c r="G8" i="9"/>
  <c r="F131" i="2" l="1"/>
  <c r="F130" i="2" s="1"/>
  <c r="G44" i="9"/>
  <c r="F134" i="2" l="1"/>
  <c r="F57" i="2"/>
  <c r="D11" i="8"/>
  <c r="D25" i="4"/>
  <c r="C15" i="6" l="1"/>
  <c r="D15" i="6" s="1"/>
  <c r="E15" i="6" s="1"/>
  <c r="F15" i="6" s="1"/>
  <c r="G15" i="6" s="1"/>
  <c r="H15" i="6" s="1"/>
  <c r="I15" i="6" s="1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U15" i="6" s="1"/>
  <c r="V15" i="6" s="1"/>
  <c r="W15" i="6" s="1"/>
  <c r="X15" i="6" s="1"/>
  <c r="Y15" i="6" s="1"/>
  <c r="Z15" i="6" s="1"/>
  <c r="AA15" i="6" s="1"/>
  <c r="C16" i="6"/>
  <c r="D16" i="6" s="1"/>
  <c r="E16" i="6" s="1"/>
  <c r="F16" i="6" s="1"/>
  <c r="G16" i="6" s="1"/>
  <c r="H16" i="6" s="1"/>
  <c r="I16" i="6" s="1"/>
  <c r="J16" i="6" s="1"/>
  <c r="K16" i="6" s="1"/>
  <c r="L16" i="6" s="1"/>
  <c r="M16" i="6" s="1"/>
  <c r="N16" i="6" s="1"/>
  <c r="O16" i="6" s="1"/>
  <c r="P16" i="6" s="1"/>
  <c r="Q16" i="6" s="1"/>
  <c r="R16" i="6" s="1"/>
  <c r="S16" i="6" s="1"/>
  <c r="T16" i="6" s="1"/>
  <c r="U16" i="6" s="1"/>
  <c r="V16" i="6" s="1"/>
  <c r="W16" i="6" s="1"/>
  <c r="X16" i="6" s="1"/>
  <c r="Y16" i="6" s="1"/>
  <c r="Z16" i="6" s="1"/>
  <c r="AA16" i="6" s="1"/>
  <c r="C31" i="6"/>
  <c r="D31" i="6" s="1"/>
  <c r="E31" i="6" s="1"/>
  <c r="F31" i="6" s="1"/>
  <c r="G31" i="6" s="1"/>
  <c r="H31" i="6" s="1"/>
  <c r="I31" i="6" s="1"/>
  <c r="J31" i="6" s="1"/>
  <c r="K31" i="6" s="1"/>
  <c r="L31" i="6" s="1"/>
  <c r="M31" i="6" s="1"/>
  <c r="N31" i="6" s="1"/>
  <c r="O31" i="6" s="1"/>
  <c r="P31" i="6" s="1"/>
  <c r="Q31" i="6" s="1"/>
  <c r="R31" i="6" s="1"/>
  <c r="S31" i="6" s="1"/>
  <c r="T31" i="6" s="1"/>
  <c r="U31" i="6" s="1"/>
  <c r="V31" i="6" s="1"/>
  <c r="W31" i="6" s="1"/>
  <c r="X31" i="6" s="1"/>
  <c r="Y31" i="6" s="1"/>
  <c r="Z31" i="6" s="1"/>
  <c r="AA31" i="6" s="1"/>
  <c r="C30" i="6"/>
  <c r="D30" i="6" s="1"/>
  <c r="E30" i="6" s="1"/>
  <c r="F30" i="6" s="1"/>
  <c r="G30" i="6" s="1"/>
  <c r="H30" i="6" s="1"/>
  <c r="I30" i="6" s="1"/>
  <c r="J30" i="6" s="1"/>
  <c r="K30" i="6" s="1"/>
  <c r="L30" i="6" s="1"/>
  <c r="M30" i="6" s="1"/>
  <c r="N30" i="6" s="1"/>
  <c r="O30" i="6" s="1"/>
  <c r="P30" i="6" s="1"/>
  <c r="Q30" i="6" s="1"/>
  <c r="R30" i="6" s="1"/>
  <c r="S30" i="6" s="1"/>
  <c r="T30" i="6" s="1"/>
  <c r="U30" i="6" s="1"/>
  <c r="V30" i="6" s="1"/>
  <c r="W30" i="6" s="1"/>
  <c r="X30" i="6" s="1"/>
  <c r="Y30" i="6" s="1"/>
  <c r="Z30" i="6" s="1"/>
  <c r="AA30" i="6" s="1"/>
  <c r="C27" i="6"/>
  <c r="D27" i="6" s="1"/>
  <c r="E27" i="6" s="1"/>
  <c r="F27" i="6" s="1"/>
  <c r="G27" i="6" s="1"/>
  <c r="H27" i="6" s="1"/>
  <c r="I27" i="6" s="1"/>
  <c r="J27" i="6" s="1"/>
  <c r="K27" i="6" s="1"/>
  <c r="L27" i="6" s="1"/>
  <c r="M27" i="6" s="1"/>
  <c r="N27" i="6" s="1"/>
  <c r="O27" i="6" s="1"/>
  <c r="P27" i="6" s="1"/>
  <c r="Q27" i="6" s="1"/>
  <c r="R27" i="6" s="1"/>
  <c r="S27" i="6" s="1"/>
  <c r="T27" i="6" s="1"/>
  <c r="U27" i="6" s="1"/>
  <c r="V27" i="6" s="1"/>
  <c r="W27" i="6" s="1"/>
  <c r="X27" i="6" s="1"/>
  <c r="Y27" i="6" s="1"/>
  <c r="Z27" i="6" s="1"/>
  <c r="AA27" i="6" s="1"/>
  <c r="C28" i="6"/>
  <c r="D28" i="6" s="1"/>
  <c r="E28" i="6" s="1"/>
  <c r="F28" i="6" s="1"/>
  <c r="G28" i="6" s="1"/>
  <c r="H28" i="6" s="1"/>
  <c r="I28" i="6" s="1"/>
  <c r="J28" i="6" s="1"/>
  <c r="K28" i="6" s="1"/>
  <c r="L28" i="6" s="1"/>
  <c r="M28" i="6" s="1"/>
  <c r="N28" i="6" s="1"/>
  <c r="O28" i="6" s="1"/>
  <c r="P28" i="6" s="1"/>
  <c r="Q28" i="6" s="1"/>
  <c r="R28" i="6" s="1"/>
  <c r="S28" i="6" s="1"/>
  <c r="T28" i="6" s="1"/>
  <c r="U28" i="6" s="1"/>
  <c r="V28" i="6" s="1"/>
  <c r="W28" i="6" s="1"/>
  <c r="X28" i="6" s="1"/>
  <c r="Y28" i="6" s="1"/>
  <c r="Z28" i="6" s="1"/>
  <c r="AA28" i="6" s="1"/>
  <c r="C29" i="6"/>
  <c r="D29" i="6" s="1"/>
  <c r="E29" i="6" s="1"/>
  <c r="F29" i="6" s="1"/>
  <c r="G29" i="6" s="1"/>
  <c r="H29" i="6" s="1"/>
  <c r="I29" i="6" s="1"/>
  <c r="J29" i="6" s="1"/>
  <c r="K29" i="6" s="1"/>
  <c r="L29" i="6" s="1"/>
  <c r="M29" i="6" s="1"/>
  <c r="N29" i="6" s="1"/>
  <c r="O29" i="6" s="1"/>
  <c r="P29" i="6" s="1"/>
  <c r="Q29" i="6" s="1"/>
  <c r="R29" i="6" s="1"/>
  <c r="S29" i="6" s="1"/>
  <c r="T29" i="6" s="1"/>
  <c r="U29" i="6" s="1"/>
  <c r="V29" i="6" s="1"/>
  <c r="W29" i="6" s="1"/>
  <c r="X29" i="6" s="1"/>
  <c r="Y29" i="6" s="1"/>
  <c r="Z29" i="6" s="1"/>
  <c r="AA29" i="6" s="1"/>
  <c r="D27" i="4"/>
  <c r="F27" i="4" s="1"/>
  <c r="B12" i="17" l="1"/>
  <c r="C4" i="14" l="1"/>
  <c r="D28" i="4" l="1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E174" i="3"/>
  <c r="E177" i="3" s="1"/>
  <c r="F174" i="3"/>
  <c r="F177" i="3" s="1"/>
  <c r="G174" i="3"/>
  <c r="G177" i="3" s="1"/>
  <c r="H174" i="3"/>
  <c r="H177" i="3" s="1"/>
  <c r="I174" i="3"/>
  <c r="I177" i="3" s="1"/>
  <c r="J174" i="3"/>
  <c r="J177" i="3" s="1"/>
  <c r="K174" i="3"/>
  <c r="K177" i="3" s="1"/>
  <c r="L174" i="3"/>
  <c r="L177" i="3" s="1"/>
  <c r="M174" i="3"/>
  <c r="M177" i="3" s="1"/>
  <c r="N174" i="3"/>
  <c r="N177" i="3" s="1"/>
  <c r="O174" i="3"/>
  <c r="O177" i="3" s="1"/>
  <c r="P174" i="3"/>
  <c r="P177" i="3" s="1"/>
  <c r="Q174" i="3"/>
  <c r="Q177" i="3" s="1"/>
  <c r="R174" i="3"/>
  <c r="R177" i="3" s="1"/>
  <c r="S174" i="3"/>
  <c r="S177" i="3" s="1"/>
  <c r="T174" i="3"/>
  <c r="T177" i="3" s="1"/>
  <c r="U174" i="3"/>
  <c r="U177" i="3" s="1"/>
  <c r="V174" i="3"/>
  <c r="V177" i="3" s="1"/>
  <c r="W174" i="3"/>
  <c r="W177" i="3" s="1"/>
  <c r="X174" i="3"/>
  <c r="X177" i="3" s="1"/>
  <c r="Y174" i="3"/>
  <c r="Y177" i="3" s="1"/>
  <c r="Z174" i="3"/>
  <c r="Z177" i="3" s="1"/>
  <c r="AA174" i="3"/>
  <c r="AA177" i="3" s="1"/>
  <c r="AB174" i="3"/>
  <c r="AB177" i="3" s="1"/>
  <c r="AC174" i="3"/>
  <c r="AC177" i="3" s="1"/>
  <c r="D174" i="3"/>
  <c r="D177" i="3" s="1"/>
  <c r="D173" i="3"/>
  <c r="C32" i="6"/>
  <c r="D32" i="6" s="1"/>
  <c r="E32" i="6" s="1"/>
  <c r="F32" i="6" s="1"/>
  <c r="G32" i="6" s="1"/>
  <c r="H32" i="6" s="1"/>
  <c r="I32" i="6" s="1"/>
  <c r="J32" i="6" s="1"/>
  <c r="K32" i="6" s="1"/>
  <c r="L32" i="6" s="1"/>
  <c r="M32" i="6" s="1"/>
  <c r="N32" i="6" s="1"/>
  <c r="O32" i="6" s="1"/>
  <c r="P32" i="6" s="1"/>
  <c r="Q32" i="6" s="1"/>
  <c r="R32" i="6" s="1"/>
  <c r="S32" i="6" s="1"/>
  <c r="T32" i="6" s="1"/>
  <c r="U32" i="6" s="1"/>
  <c r="V32" i="6" s="1"/>
  <c r="W32" i="6" s="1"/>
  <c r="X32" i="6" s="1"/>
  <c r="Y32" i="6" s="1"/>
  <c r="Z32" i="6" s="1"/>
  <c r="AA32" i="6" s="1"/>
  <c r="C26" i="6"/>
  <c r="D26" i="6" s="1"/>
  <c r="E26" i="6" s="1"/>
  <c r="F26" i="6" s="1"/>
  <c r="G26" i="6" s="1"/>
  <c r="H26" i="6" s="1"/>
  <c r="I26" i="6" s="1"/>
  <c r="J26" i="6" s="1"/>
  <c r="K26" i="6" s="1"/>
  <c r="L26" i="6" s="1"/>
  <c r="M26" i="6" s="1"/>
  <c r="N26" i="6" s="1"/>
  <c r="O26" i="6" s="1"/>
  <c r="P26" i="6" s="1"/>
  <c r="Q26" i="6" s="1"/>
  <c r="R26" i="6" s="1"/>
  <c r="S26" i="6" s="1"/>
  <c r="T26" i="6" s="1"/>
  <c r="U26" i="6" s="1"/>
  <c r="V26" i="6" s="1"/>
  <c r="W26" i="6" s="1"/>
  <c r="X26" i="6" s="1"/>
  <c r="Y26" i="6" s="1"/>
  <c r="Z26" i="6" s="1"/>
  <c r="AA26" i="6" s="1"/>
  <c r="C25" i="6"/>
  <c r="D25" i="6" s="1"/>
  <c r="E25" i="6" s="1"/>
  <c r="F25" i="6" s="1"/>
  <c r="G25" i="6" s="1"/>
  <c r="H25" i="6" s="1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S25" i="6" s="1"/>
  <c r="T25" i="6" s="1"/>
  <c r="U25" i="6" s="1"/>
  <c r="V25" i="6" s="1"/>
  <c r="W25" i="6" s="1"/>
  <c r="X25" i="6" s="1"/>
  <c r="Y25" i="6" s="1"/>
  <c r="Z25" i="6" s="1"/>
  <c r="AA25" i="6" s="1"/>
  <c r="C23" i="6"/>
  <c r="D23" i="6" s="1"/>
  <c r="E23" i="6" s="1"/>
  <c r="F23" i="6" s="1"/>
  <c r="G23" i="6" s="1"/>
  <c r="H23" i="6" s="1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S23" i="6" s="1"/>
  <c r="T23" i="6" s="1"/>
  <c r="U23" i="6" s="1"/>
  <c r="V23" i="6" s="1"/>
  <c r="W23" i="6" s="1"/>
  <c r="X23" i="6" s="1"/>
  <c r="Y23" i="6" s="1"/>
  <c r="Z23" i="6" s="1"/>
  <c r="AA23" i="6" s="1"/>
  <c r="C18" i="6"/>
  <c r="D18" i="6" s="1"/>
  <c r="E18" i="6" s="1"/>
  <c r="F18" i="6" s="1"/>
  <c r="G18" i="6" s="1"/>
  <c r="H18" i="6" s="1"/>
  <c r="I18" i="6" s="1"/>
  <c r="J18" i="6" s="1"/>
  <c r="K18" i="6" s="1"/>
  <c r="L18" i="6" s="1"/>
  <c r="M18" i="6" s="1"/>
  <c r="N18" i="6" s="1"/>
  <c r="O18" i="6" s="1"/>
  <c r="P18" i="6" s="1"/>
  <c r="Q18" i="6" s="1"/>
  <c r="R18" i="6" s="1"/>
  <c r="S18" i="6" s="1"/>
  <c r="T18" i="6" s="1"/>
  <c r="U18" i="6" s="1"/>
  <c r="V18" i="6" s="1"/>
  <c r="W18" i="6" s="1"/>
  <c r="X18" i="6" s="1"/>
  <c r="Y18" i="6" s="1"/>
  <c r="Z18" i="6" s="1"/>
  <c r="AA18" i="6" s="1"/>
  <c r="C17" i="6"/>
  <c r="D17" i="6" s="1"/>
  <c r="E17" i="6" s="1"/>
  <c r="F17" i="6" s="1"/>
  <c r="G17" i="6" s="1"/>
  <c r="H17" i="6" s="1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S17" i="6" s="1"/>
  <c r="T17" i="6" s="1"/>
  <c r="U17" i="6" s="1"/>
  <c r="V17" i="6" s="1"/>
  <c r="W17" i="6" s="1"/>
  <c r="X17" i="6" s="1"/>
  <c r="Y17" i="6" s="1"/>
  <c r="Z17" i="6" s="1"/>
  <c r="AA17" i="6" s="1"/>
  <c r="C14" i="6"/>
  <c r="D14" i="6" s="1"/>
  <c r="E14" i="6" s="1"/>
  <c r="F14" i="6" s="1"/>
  <c r="G14" i="6" s="1"/>
  <c r="H14" i="6" s="1"/>
  <c r="I14" i="6" s="1"/>
  <c r="J14" i="6" s="1"/>
  <c r="K14" i="6" s="1"/>
  <c r="L14" i="6" s="1"/>
  <c r="M14" i="6" s="1"/>
  <c r="N14" i="6" s="1"/>
  <c r="O14" i="6" s="1"/>
  <c r="P14" i="6" s="1"/>
  <c r="Q14" i="6" s="1"/>
  <c r="R14" i="6" s="1"/>
  <c r="S14" i="6" s="1"/>
  <c r="T14" i="6" s="1"/>
  <c r="U14" i="6" s="1"/>
  <c r="V14" i="6" s="1"/>
  <c r="W14" i="6" s="1"/>
  <c r="X14" i="6" s="1"/>
  <c r="Y14" i="6" s="1"/>
  <c r="Z14" i="6" s="1"/>
  <c r="AA14" i="6" s="1"/>
  <c r="C13" i="6"/>
  <c r="D13" i="6" s="1"/>
  <c r="E13" i="6" s="1"/>
  <c r="F13" i="6" s="1"/>
  <c r="G13" i="6" s="1"/>
  <c r="H13" i="6" s="1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S13" i="6" s="1"/>
  <c r="T13" i="6" s="1"/>
  <c r="U13" i="6" s="1"/>
  <c r="V13" i="6" s="1"/>
  <c r="W13" i="6" s="1"/>
  <c r="X13" i="6" s="1"/>
  <c r="Y13" i="6" s="1"/>
  <c r="Z13" i="6" s="1"/>
  <c r="AA13" i="6" s="1"/>
  <c r="C12" i="6"/>
  <c r="D12" i="6" s="1"/>
  <c r="E12" i="6" s="1"/>
  <c r="F12" i="6" s="1"/>
  <c r="G12" i="6" s="1"/>
  <c r="H12" i="6" s="1"/>
  <c r="I12" i="6" s="1"/>
  <c r="J12" i="6" s="1"/>
  <c r="K12" i="6" s="1"/>
  <c r="L12" i="6" s="1"/>
  <c r="M12" i="6" s="1"/>
  <c r="N12" i="6" s="1"/>
  <c r="O12" i="6" s="1"/>
  <c r="P12" i="6" s="1"/>
  <c r="Q12" i="6" s="1"/>
  <c r="R12" i="6" s="1"/>
  <c r="S12" i="6" s="1"/>
  <c r="T12" i="6" s="1"/>
  <c r="U12" i="6" s="1"/>
  <c r="V12" i="6" s="1"/>
  <c r="W12" i="6" s="1"/>
  <c r="X12" i="6" s="1"/>
  <c r="Y12" i="6" s="1"/>
  <c r="Z12" i="6" s="1"/>
  <c r="AA12" i="6" s="1"/>
  <c r="C11" i="6"/>
  <c r="D11" i="6" s="1"/>
  <c r="E11" i="6" s="1"/>
  <c r="F11" i="6" s="1"/>
  <c r="G11" i="6" s="1"/>
  <c r="H11" i="6" s="1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S11" i="6" s="1"/>
  <c r="T11" i="6" s="1"/>
  <c r="U11" i="6" s="1"/>
  <c r="V11" i="6" s="1"/>
  <c r="W11" i="6" s="1"/>
  <c r="X11" i="6" s="1"/>
  <c r="Y11" i="6" s="1"/>
  <c r="Z11" i="6" s="1"/>
  <c r="AA11" i="6" s="1"/>
  <c r="C10" i="6"/>
  <c r="D10" i="6" s="1"/>
  <c r="E10" i="6" s="1"/>
  <c r="F10" i="6" s="1"/>
  <c r="G10" i="6" s="1"/>
  <c r="H10" i="6" s="1"/>
  <c r="I10" i="6" s="1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V10" i="6" s="1"/>
  <c r="W10" i="6" s="1"/>
  <c r="X10" i="6" s="1"/>
  <c r="Y10" i="6" s="1"/>
  <c r="Z10" i="6" s="1"/>
  <c r="AA10" i="6" s="1"/>
  <c r="C9" i="6"/>
  <c r="D9" i="6" s="1"/>
  <c r="E9" i="6" s="1"/>
  <c r="F9" i="6" s="1"/>
  <c r="G9" i="6" s="1"/>
  <c r="H9" i="6" s="1"/>
  <c r="I9" i="6" s="1"/>
  <c r="J9" i="6" s="1"/>
  <c r="K9" i="6" s="1"/>
  <c r="L9" i="6" s="1"/>
  <c r="M9" i="6" s="1"/>
  <c r="N9" i="6" s="1"/>
  <c r="O9" i="6" s="1"/>
  <c r="P9" i="6" s="1"/>
  <c r="Q9" i="6" s="1"/>
  <c r="R9" i="6" s="1"/>
  <c r="S9" i="6" s="1"/>
  <c r="T9" i="6" s="1"/>
  <c r="U9" i="6" s="1"/>
  <c r="V9" i="6" s="1"/>
  <c r="W9" i="6" s="1"/>
  <c r="X9" i="6" s="1"/>
  <c r="Y9" i="6" s="1"/>
  <c r="Z9" i="6" s="1"/>
  <c r="AA9" i="6" s="1"/>
  <c r="C8" i="6"/>
  <c r="D8" i="6" s="1"/>
  <c r="E8" i="6" s="1"/>
  <c r="F8" i="6" s="1"/>
  <c r="G8" i="6" s="1"/>
  <c r="H8" i="6" s="1"/>
  <c r="I8" i="6" s="1"/>
  <c r="J8" i="6" s="1"/>
  <c r="K8" i="6" s="1"/>
  <c r="L8" i="6" s="1"/>
  <c r="M8" i="6" s="1"/>
  <c r="N8" i="6" s="1"/>
  <c r="O8" i="6" s="1"/>
  <c r="P8" i="6" s="1"/>
  <c r="Q8" i="6" s="1"/>
  <c r="R8" i="6" s="1"/>
  <c r="S8" i="6" s="1"/>
  <c r="T8" i="6" s="1"/>
  <c r="U8" i="6" s="1"/>
  <c r="V8" i="6" s="1"/>
  <c r="W8" i="6" s="1"/>
  <c r="X8" i="6" s="1"/>
  <c r="Y8" i="6" s="1"/>
  <c r="Z8" i="6" s="1"/>
  <c r="AA8" i="6" s="1"/>
  <c r="C7" i="6"/>
  <c r="D7" i="6" s="1"/>
  <c r="E7" i="6" s="1"/>
  <c r="F7" i="6" s="1"/>
  <c r="G7" i="6" s="1"/>
  <c r="H7" i="6" s="1"/>
  <c r="I7" i="6" s="1"/>
  <c r="J7" i="6" s="1"/>
  <c r="K7" i="6" s="1"/>
  <c r="L7" i="6" s="1"/>
  <c r="M7" i="6" s="1"/>
  <c r="N7" i="6" s="1"/>
  <c r="O7" i="6" s="1"/>
  <c r="P7" i="6" s="1"/>
  <c r="Q7" i="6" s="1"/>
  <c r="R7" i="6" s="1"/>
  <c r="S7" i="6" s="1"/>
  <c r="T7" i="6" s="1"/>
  <c r="U7" i="6" s="1"/>
  <c r="V7" i="6" s="1"/>
  <c r="W7" i="6" s="1"/>
  <c r="X7" i="6" s="1"/>
  <c r="Y7" i="6" s="1"/>
  <c r="Z7" i="6" s="1"/>
  <c r="AA7" i="6" s="1"/>
  <c r="B20" i="6"/>
  <c r="B82" i="17"/>
  <c r="B31" i="17"/>
  <c r="C30" i="17"/>
  <c r="B30" i="17"/>
  <c r="B29" i="17"/>
  <c r="B28" i="17"/>
  <c r="B27" i="17"/>
  <c r="B26" i="17"/>
  <c r="F23" i="17"/>
  <c r="E23" i="17"/>
  <c r="B23" i="17"/>
  <c r="C18" i="17"/>
  <c r="B18" i="17"/>
  <c r="B17" i="17"/>
  <c r="B16" i="17"/>
  <c r="B15" i="17"/>
  <c r="B14" i="17"/>
  <c r="B13" i="17"/>
  <c r="C12" i="17"/>
  <c r="C11" i="17"/>
  <c r="B11" i="17"/>
  <c r="C10" i="17"/>
  <c r="B10" i="17"/>
  <c r="B9" i="17"/>
  <c r="B8" i="17"/>
  <c r="F4" i="17"/>
  <c r="D4" i="17"/>
  <c r="C4" i="17"/>
  <c r="I26" i="9"/>
  <c r="I25" i="9"/>
  <c r="C49" i="18"/>
  <c r="C50" i="18" s="1"/>
  <c r="C53" i="18" s="1"/>
  <c r="C43" i="18"/>
  <c r="C20" i="18"/>
  <c r="C21" i="18" s="1"/>
  <c r="C24" i="18" s="1"/>
  <c r="C14" i="18"/>
  <c r="B32" i="17" l="1"/>
  <c r="I28" i="4"/>
  <c r="G5" i="7" s="1"/>
  <c r="M28" i="4"/>
  <c r="K5" i="7" s="1"/>
  <c r="Q28" i="4"/>
  <c r="O5" i="7" s="1"/>
  <c r="U28" i="4"/>
  <c r="S5" i="7" s="1"/>
  <c r="Y28" i="4"/>
  <c r="W5" i="7" s="1"/>
  <c r="AC28" i="4"/>
  <c r="AA5" i="7" s="1"/>
  <c r="K28" i="4"/>
  <c r="S28" i="4"/>
  <c r="Q5" i="7" s="1"/>
  <c r="AA28" i="4"/>
  <c r="Y5" i="7" s="1"/>
  <c r="J28" i="4"/>
  <c r="H5" i="7" s="1"/>
  <c r="N28" i="4"/>
  <c r="L5" i="7" s="1"/>
  <c r="R28" i="4"/>
  <c r="P5" i="7" s="1"/>
  <c r="V28" i="4"/>
  <c r="T5" i="7" s="1"/>
  <c r="Z28" i="4"/>
  <c r="X5" i="7" s="1"/>
  <c r="AD28" i="4"/>
  <c r="AB5" i="7" s="1"/>
  <c r="G28" i="4"/>
  <c r="E5" i="7" s="1"/>
  <c r="O28" i="4"/>
  <c r="W28" i="4"/>
  <c r="U5" i="7" s="1"/>
  <c r="F28" i="4"/>
  <c r="D5" i="7" s="1"/>
  <c r="H28" i="4"/>
  <c r="F5" i="7" s="1"/>
  <c r="P28" i="4"/>
  <c r="N5" i="7" s="1"/>
  <c r="AB28" i="4"/>
  <c r="Z5" i="7" s="1"/>
  <c r="L28" i="4"/>
  <c r="T28" i="4"/>
  <c r="R5" i="7" s="1"/>
  <c r="X28" i="4"/>
  <c r="V5" i="7" s="1"/>
  <c r="B19" i="17"/>
  <c r="B34" i="17" s="1"/>
  <c r="I5" i="7"/>
  <c r="D31" i="17"/>
  <c r="E31" i="17" s="1"/>
  <c r="F31" i="17" s="1"/>
  <c r="D12" i="17"/>
  <c r="E12" i="17" s="1"/>
  <c r="F12" i="17" s="1"/>
  <c r="M5" i="7"/>
  <c r="J5" i="7"/>
  <c r="C6" i="6"/>
  <c r="D16" i="17"/>
  <c r="E16" i="17" s="1"/>
  <c r="F16" i="17" s="1"/>
  <c r="D30" i="17"/>
  <c r="E30" i="17" s="1"/>
  <c r="F30" i="17" s="1"/>
  <c r="D8" i="17"/>
  <c r="E8" i="17" s="1"/>
  <c r="D9" i="17"/>
  <c r="E9" i="17" s="1"/>
  <c r="F9" i="17" s="1"/>
  <c r="D11" i="17"/>
  <c r="E11" i="17" s="1"/>
  <c r="F11" i="17" s="1"/>
  <c r="D13" i="17"/>
  <c r="E13" i="17" s="1"/>
  <c r="F13" i="17" s="1"/>
  <c r="D14" i="17"/>
  <c r="E14" i="17" s="1"/>
  <c r="F14" i="17" s="1"/>
  <c r="D15" i="17"/>
  <c r="E15" i="17" s="1"/>
  <c r="F15" i="17" s="1"/>
  <c r="D18" i="17"/>
  <c r="E18" i="17" s="1"/>
  <c r="F18" i="17" s="1"/>
  <c r="D26" i="17"/>
  <c r="E26" i="17" s="1"/>
  <c r="D27" i="17"/>
  <c r="E27" i="17" s="1"/>
  <c r="F27" i="17" s="1"/>
  <c r="D28" i="17"/>
  <c r="E28" i="17" s="1"/>
  <c r="F28" i="17" s="1"/>
  <c r="D29" i="17"/>
  <c r="E29" i="17" s="1"/>
  <c r="F29" i="17" s="1"/>
  <c r="D10" i="17"/>
  <c r="E10" i="17" s="1"/>
  <c r="F10" i="17" s="1"/>
  <c r="D17" i="17"/>
  <c r="E17" i="17" s="1"/>
  <c r="F17" i="17" s="1"/>
  <c r="C25" i="18"/>
  <c r="C54" i="18"/>
  <c r="C26" i="18"/>
  <c r="C55" i="18"/>
  <c r="AC8" i="15"/>
  <c r="AC9" i="15"/>
  <c r="B3" i="12" l="1"/>
  <c r="C20" i="6"/>
  <c r="D6" i="6"/>
  <c r="E19" i="17"/>
  <c r="F8" i="17"/>
  <c r="F19" i="17" s="1"/>
  <c r="E32" i="17"/>
  <c r="F26" i="17"/>
  <c r="F32" i="17" s="1"/>
  <c r="C56" i="18"/>
  <c r="C57" i="18" s="1"/>
  <c r="C27" i="18"/>
  <c r="C28" i="18" s="1"/>
  <c r="F26" i="16"/>
  <c r="F27" i="16" s="1"/>
  <c r="F22" i="16"/>
  <c r="F23" i="16" s="1"/>
  <c r="F12" i="16"/>
  <c r="F13" i="16" s="1"/>
  <c r="F15" i="16" s="1"/>
  <c r="E39" i="15"/>
  <c r="F39" i="15" s="1"/>
  <c r="B38" i="15"/>
  <c r="E36" i="15"/>
  <c r="F36" i="15" s="1"/>
  <c r="B35" i="15"/>
  <c r="E33" i="15"/>
  <c r="F33" i="15" s="1"/>
  <c r="B32" i="15"/>
  <c r="E30" i="15"/>
  <c r="B29" i="15"/>
  <c r="E24" i="15"/>
  <c r="F24" i="15" s="1"/>
  <c r="B23" i="15"/>
  <c r="E21" i="15"/>
  <c r="F21" i="15" s="1"/>
  <c r="B20" i="15"/>
  <c r="E18" i="15"/>
  <c r="F18" i="15" s="1"/>
  <c r="B17" i="15"/>
  <c r="E15" i="15"/>
  <c r="F15" i="15" s="1"/>
  <c r="B14" i="15"/>
  <c r="E12" i="15"/>
  <c r="F12" i="15" s="1"/>
  <c r="B11" i="15"/>
  <c r="I7" i="15"/>
  <c r="J7" i="15" s="1"/>
  <c r="F7" i="15"/>
  <c r="D11" i="11" l="1"/>
  <c r="D10" i="11"/>
  <c r="D19" i="11"/>
  <c r="D18" i="11"/>
  <c r="F18" i="16"/>
  <c r="F28" i="16" s="1"/>
  <c r="F34" i="17"/>
  <c r="E34" i="17"/>
  <c r="B84" i="17" s="1"/>
  <c r="C84" i="17" s="1"/>
  <c r="D84" i="17" s="1"/>
  <c r="E84" i="17" s="1"/>
  <c r="F84" i="17" s="1"/>
  <c r="G84" i="17" s="1"/>
  <c r="H84" i="17" s="1"/>
  <c r="I84" i="17" s="1"/>
  <c r="J84" i="17" s="1"/>
  <c r="K84" i="17" s="1"/>
  <c r="L84" i="17" s="1"/>
  <c r="M84" i="17" s="1"/>
  <c r="N84" i="17" s="1"/>
  <c r="O84" i="17" s="1"/>
  <c r="P84" i="17" s="1"/>
  <c r="Q84" i="17" s="1"/>
  <c r="R84" i="17" s="1"/>
  <c r="S84" i="17" s="1"/>
  <c r="T84" i="17" s="1"/>
  <c r="U84" i="17" s="1"/>
  <c r="V84" i="17" s="1"/>
  <c r="W84" i="17" s="1"/>
  <c r="X84" i="17" s="1"/>
  <c r="Y84" i="17" s="1"/>
  <c r="Z84" i="17" s="1"/>
  <c r="AA84" i="17" s="1"/>
  <c r="E10" i="11"/>
  <c r="E18" i="11"/>
  <c r="E11" i="11"/>
  <c r="E6" i="6"/>
  <c r="E19" i="11"/>
  <c r="D20" i="6"/>
  <c r="C24" i="6"/>
  <c r="B33" i="6"/>
  <c r="B35" i="6" s="1"/>
  <c r="F30" i="15"/>
  <c r="G18" i="15"/>
  <c r="H18" i="15" s="1"/>
  <c r="I18" i="15" s="1"/>
  <c r="G33" i="15"/>
  <c r="G39" i="15"/>
  <c r="G12" i="15"/>
  <c r="G15" i="15"/>
  <c r="G21" i="15"/>
  <c r="G36" i="15"/>
  <c r="G24" i="15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B2" i="12" l="1"/>
  <c r="F19" i="11"/>
  <c r="F18" i="11"/>
  <c r="F6" i="6"/>
  <c r="G11" i="11" s="1"/>
  <c r="E20" i="6"/>
  <c r="F11" i="11"/>
  <c r="F10" i="11"/>
  <c r="D24" i="6"/>
  <c r="C33" i="6"/>
  <c r="C35" i="6" s="1"/>
  <c r="G30" i="15"/>
  <c r="H12" i="15"/>
  <c r="H21" i="15"/>
  <c r="H33" i="15"/>
  <c r="H24" i="15"/>
  <c r="H15" i="15"/>
  <c r="J18" i="15"/>
  <c r="H39" i="15"/>
  <c r="H36" i="15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D172" i="14"/>
  <c r="D10" i="13" s="1"/>
  <c r="C172" i="14"/>
  <c r="C10" i="13" s="1"/>
  <c r="A145" i="14"/>
  <c r="G5" i="14"/>
  <c r="O5" i="14"/>
  <c r="P5" i="14" s="1"/>
  <c r="O6" i="14" s="1"/>
  <c r="P6" i="14" s="1"/>
  <c r="O7" i="14" s="1"/>
  <c r="P7" i="14" s="1"/>
  <c r="O8" i="14" s="1"/>
  <c r="P8" i="14" s="1"/>
  <c r="O9" i="14" s="1"/>
  <c r="P9" i="14" s="1"/>
  <c r="O10" i="14" s="1"/>
  <c r="P10" i="14" s="1"/>
  <c r="O11" i="14" s="1"/>
  <c r="P11" i="14" s="1"/>
  <c r="O12" i="14" s="1"/>
  <c r="P12" i="14" s="1"/>
  <c r="O13" i="14" s="1"/>
  <c r="P13" i="14" s="1"/>
  <c r="O14" i="14" s="1"/>
  <c r="P14" i="14" s="1"/>
  <c r="O15" i="14" s="1"/>
  <c r="P15" i="14" s="1"/>
  <c r="O16" i="14" s="1"/>
  <c r="P16" i="14" s="1"/>
  <c r="O17" i="14" s="1"/>
  <c r="P17" i="14" s="1"/>
  <c r="O18" i="14" s="1"/>
  <c r="P18" i="14" s="1"/>
  <c r="O19" i="14" s="1"/>
  <c r="P19" i="14" s="1"/>
  <c r="O20" i="14" s="1"/>
  <c r="P20" i="14" s="1"/>
  <c r="O21" i="14" s="1"/>
  <c r="P21" i="14" s="1"/>
  <c r="O22" i="14" s="1"/>
  <c r="P22" i="14" s="1"/>
  <c r="O23" i="14" s="1"/>
  <c r="P23" i="14" s="1"/>
  <c r="O24" i="14" s="1"/>
  <c r="P24" i="14" s="1"/>
  <c r="O25" i="14" s="1"/>
  <c r="P25" i="14" s="1"/>
  <c r="O26" i="14" s="1"/>
  <c r="P26" i="14" s="1"/>
  <c r="O27" i="14" s="1"/>
  <c r="P27" i="14" s="1"/>
  <c r="O28" i="14" s="1"/>
  <c r="P28" i="14" s="1"/>
  <c r="O29" i="14" s="1"/>
  <c r="P29" i="14" s="1"/>
  <c r="O30" i="14" s="1"/>
  <c r="P30" i="14" s="1"/>
  <c r="O31" i="14" s="1"/>
  <c r="P31" i="14" s="1"/>
  <c r="O32" i="14" s="1"/>
  <c r="P32" i="14" s="1"/>
  <c r="O33" i="14" s="1"/>
  <c r="P33" i="14" s="1"/>
  <c r="O34" i="14" s="1"/>
  <c r="P34" i="14" s="1"/>
  <c r="O35" i="14" s="1"/>
  <c r="P35" i="14" s="1"/>
  <c r="O36" i="14" s="1"/>
  <c r="P36" i="14" s="1"/>
  <c r="O37" i="14" s="1"/>
  <c r="P37" i="14" s="1"/>
  <c r="O38" i="14" s="1"/>
  <c r="P38" i="14" s="1"/>
  <c r="O39" i="14" s="1"/>
  <c r="P39" i="14" s="1"/>
  <c r="O40" i="14" s="1"/>
  <c r="P40" i="14" s="1"/>
  <c r="D11" i="14"/>
  <c r="J11" i="14" s="1"/>
  <c r="K11" i="14"/>
  <c r="L11" i="14"/>
  <c r="D12" i="14"/>
  <c r="J12" i="14" s="1"/>
  <c r="H12" i="14"/>
  <c r="K12" i="14"/>
  <c r="L12" i="14"/>
  <c r="D13" i="14"/>
  <c r="J13" i="14" s="1"/>
  <c r="H13" i="14"/>
  <c r="K13" i="14"/>
  <c r="L13" i="14"/>
  <c r="H14" i="14"/>
  <c r="L14" i="14"/>
  <c r="D15" i="14"/>
  <c r="H15" i="14"/>
  <c r="K15" i="14"/>
  <c r="L15" i="14"/>
  <c r="D16" i="14"/>
  <c r="H16" i="14"/>
  <c r="K16" i="14"/>
  <c r="L16" i="14"/>
  <c r="H17" i="14"/>
  <c r="L17" i="14"/>
  <c r="D18" i="14"/>
  <c r="J18" i="14" s="1"/>
  <c r="H18" i="14"/>
  <c r="K18" i="14"/>
  <c r="L18" i="14"/>
  <c r="D19" i="14"/>
  <c r="J19" i="14" s="1"/>
  <c r="H19" i="14"/>
  <c r="K19" i="14"/>
  <c r="L19" i="14"/>
  <c r="H20" i="14"/>
  <c r="L20" i="14"/>
  <c r="D21" i="14"/>
  <c r="H21" i="14"/>
  <c r="K21" i="14"/>
  <c r="L21" i="14"/>
  <c r="D22" i="14"/>
  <c r="H22" i="14"/>
  <c r="K22" i="14"/>
  <c r="L22" i="14"/>
  <c r="H23" i="14"/>
  <c r="L23" i="14"/>
  <c r="D24" i="14"/>
  <c r="J24" i="14" s="1"/>
  <c r="H24" i="14"/>
  <c r="K24" i="14"/>
  <c r="L24" i="14"/>
  <c r="D25" i="14"/>
  <c r="J25" i="14" s="1"/>
  <c r="H25" i="14"/>
  <c r="K25" i="14"/>
  <c r="L25" i="14"/>
  <c r="H26" i="14"/>
  <c r="L26" i="14"/>
  <c r="D27" i="14"/>
  <c r="H27" i="14"/>
  <c r="K27" i="14"/>
  <c r="L27" i="14"/>
  <c r="D28" i="14"/>
  <c r="H28" i="14"/>
  <c r="K28" i="14"/>
  <c r="L28" i="14"/>
  <c r="H29" i="14"/>
  <c r="L29" i="14"/>
  <c r="D30" i="14"/>
  <c r="J30" i="14" s="1"/>
  <c r="H30" i="14"/>
  <c r="K30" i="14"/>
  <c r="L30" i="14"/>
  <c r="D31" i="14"/>
  <c r="J31" i="14" s="1"/>
  <c r="H31" i="14"/>
  <c r="K31" i="14"/>
  <c r="L31" i="14"/>
  <c r="H32" i="14"/>
  <c r="L32" i="14"/>
  <c r="D33" i="14"/>
  <c r="H33" i="14"/>
  <c r="K33" i="14"/>
  <c r="L33" i="14"/>
  <c r="D34" i="14"/>
  <c r="H34" i="14"/>
  <c r="K34" i="14"/>
  <c r="L34" i="14"/>
  <c r="H35" i="14"/>
  <c r="L35" i="14"/>
  <c r="H36" i="14"/>
  <c r="S36" i="14"/>
  <c r="S35" i="14" s="1"/>
  <c r="S42" i="14" s="1"/>
  <c r="S43" i="14" s="1"/>
  <c r="S45" i="14" s="1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85" i="14"/>
  <c r="H86" i="14"/>
  <c r="H87" i="14"/>
  <c r="H88" i="14"/>
  <c r="H89" i="14"/>
  <c r="H90" i="14"/>
  <c r="H91" i="14"/>
  <c r="H92" i="14"/>
  <c r="H93" i="14"/>
  <c r="H94" i="14"/>
  <c r="H95" i="14"/>
  <c r="H96" i="14"/>
  <c r="H97" i="14"/>
  <c r="H98" i="14"/>
  <c r="H99" i="14"/>
  <c r="H100" i="14"/>
  <c r="H101" i="14"/>
  <c r="H102" i="14"/>
  <c r="H103" i="14"/>
  <c r="H104" i="14"/>
  <c r="H105" i="14"/>
  <c r="H106" i="14"/>
  <c r="H107" i="14"/>
  <c r="H108" i="14"/>
  <c r="H109" i="14"/>
  <c r="H110" i="14"/>
  <c r="H111" i="14"/>
  <c r="H112" i="14"/>
  <c r="H113" i="14"/>
  <c r="H114" i="14"/>
  <c r="H115" i="14"/>
  <c r="H116" i="14"/>
  <c r="H117" i="14"/>
  <c r="H118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L132" i="14"/>
  <c r="D133" i="14"/>
  <c r="H133" i="14"/>
  <c r="K133" i="14"/>
  <c r="L133" i="14"/>
  <c r="D134" i="14"/>
  <c r="H134" i="14"/>
  <c r="K134" i="14"/>
  <c r="L134" i="14"/>
  <c r="D135" i="14"/>
  <c r="H135" i="14"/>
  <c r="K135" i="14"/>
  <c r="L135" i="14"/>
  <c r="D136" i="14"/>
  <c r="H136" i="14"/>
  <c r="K136" i="14"/>
  <c r="L136" i="14"/>
  <c r="D137" i="14"/>
  <c r="H137" i="14"/>
  <c r="K137" i="14"/>
  <c r="L137" i="14"/>
  <c r="D138" i="14"/>
  <c r="H138" i="14"/>
  <c r="K138" i="14"/>
  <c r="L138" i="14"/>
  <c r="D139" i="14"/>
  <c r="H139" i="14"/>
  <c r="K139" i="14"/>
  <c r="L139" i="14"/>
  <c r="D140" i="14"/>
  <c r="H140" i="14"/>
  <c r="K140" i="14"/>
  <c r="L140" i="14"/>
  <c r="D141" i="14"/>
  <c r="H141" i="14"/>
  <c r="K141" i="14"/>
  <c r="L141" i="14"/>
  <c r="D142" i="14"/>
  <c r="H142" i="14"/>
  <c r="K142" i="14"/>
  <c r="L142" i="14"/>
  <c r="D143" i="14"/>
  <c r="H143" i="14"/>
  <c r="K143" i="14"/>
  <c r="L143" i="14"/>
  <c r="F145" i="14"/>
  <c r="G145" i="14"/>
  <c r="O170" i="14"/>
  <c r="J143" i="14" l="1"/>
  <c r="J141" i="14"/>
  <c r="J139" i="14"/>
  <c r="J138" i="14"/>
  <c r="J136" i="14"/>
  <c r="J135" i="14"/>
  <c r="J134" i="14"/>
  <c r="J133" i="14"/>
  <c r="J142" i="14"/>
  <c r="J140" i="14"/>
  <c r="J137" i="14"/>
  <c r="F20" i="6"/>
  <c r="J34" i="14"/>
  <c r="J33" i="14"/>
  <c r="J28" i="14"/>
  <c r="J27" i="14"/>
  <c r="J22" i="14"/>
  <c r="J21" i="14"/>
  <c r="J16" i="14"/>
  <c r="J15" i="14"/>
  <c r="H145" i="14"/>
  <c r="G118" i="2"/>
  <c r="G126" i="2"/>
  <c r="G130" i="2"/>
  <c r="G80" i="2"/>
  <c r="G110" i="2"/>
  <c r="G83" i="2"/>
  <c r="G87" i="2"/>
  <c r="G91" i="2"/>
  <c r="G96" i="2"/>
  <c r="G100" i="2"/>
  <c r="G105" i="2"/>
  <c r="G58" i="2"/>
  <c r="G75" i="2"/>
  <c r="G71" i="2"/>
  <c r="G67" i="2"/>
  <c r="G63" i="2"/>
  <c r="G59" i="2"/>
  <c r="G54" i="2"/>
  <c r="G46" i="2"/>
  <c r="G40" i="2"/>
  <c r="G36" i="2"/>
  <c r="G32" i="2"/>
  <c r="G28" i="2"/>
  <c r="G22" i="2"/>
  <c r="G18" i="2"/>
  <c r="G12" i="2"/>
  <c r="G92" i="2"/>
  <c r="G106" i="2"/>
  <c r="G70" i="2"/>
  <c r="G15" i="2"/>
  <c r="G86" i="2"/>
  <c r="G90" i="2"/>
  <c r="G95" i="2"/>
  <c r="G99" i="2"/>
  <c r="G104" i="2"/>
  <c r="G108" i="2"/>
  <c r="G76" i="2"/>
  <c r="G72" i="2"/>
  <c r="G68" i="2"/>
  <c r="G64" i="2"/>
  <c r="G60" i="2"/>
  <c r="G55" i="2"/>
  <c r="G49" i="2"/>
  <c r="G41" i="2"/>
  <c r="G37" i="2"/>
  <c r="G33" i="2"/>
  <c r="G29" i="2"/>
  <c r="G23" i="2"/>
  <c r="G19" i="2"/>
  <c r="G13" i="2"/>
  <c r="G9" i="2"/>
  <c r="G84" i="2"/>
  <c r="G101" i="2"/>
  <c r="G74" i="2"/>
  <c r="G62" i="2"/>
  <c r="G45" i="2"/>
  <c r="G35" i="2"/>
  <c r="G27" i="2"/>
  <c r="G11" i="2"/>
  <c r="G85" i="2"/>
  <c r="G89" i="2"/>
  <c r="G94" i="2"/>
  <c r="G98" i="2"/>
  <c r="G103" i="2"/>
  <c r="G107" i="2"/>
  <c r="G77" i="2"/>
  <c r="G73" i="2"/>
  <c r="G69" i="2"/>
  <c r="G65" i="2"/>
  <c r="G61" i="2"/>
  <c r="G52" i="2"/>
  <c r="G44" i="2"/>
  <c r="G38" i="2"/>
  <c r="G34" i="2"/>
  <c r="G30" i="2"/>
  <c r="G26" i="2"/>
  <c r="G20" i="2"/>
  <c r="G14" i="2"/>
  <c r="G10" i="2"/>
  <c r="G88" i="2"/>
  <c r="G97" i="2"/>
  <c r="G78" i="2"/>
  <c r="G66" i="2"/>
  <c r="G53" i="2"/>
  <c r="G39" i="2"/>
  <c r="G31" i="2"/>
  <c r="G21" i="2"/>
  <c r="G82" i="2"/>
  <c r="G6" i="6"/>
  <c r="H11" i="11" s="1"/>
  <c r="G19" i="11"/>
  <c r="G18" i="11"/>
  <c r="G10" i="11"/>
  <c r="E24" i="6"/>
  <c r="D33" i="6"/>
  <c r="D35" i="6" s="1"/>
  <c r="C37" i="6"/>
  <c r="D9" i="7"/>
  <c r="H10" i="11"/>
  <c r="G132" i="2"/>
  <c r="G124" i="2"/>
  <c r="G123" i="2"/>
  <c r="G122" i="2"/>
  <c r="G121" i="2"/>
  <c r="G120" i="2"/>
  <c r="G119" i="2"/>
  <c r="G111" i="2"/>
  <c r="G8" i="2"/>
  <c r="G112" i="2"/>
  <c r="G116" i="2"/>
  <c r="G115" i="2"/>
  <c r="G114" i="2"/>
  <c r="G128" i="2"/>
  <c r="G113" i="2"/>
  <c r="G127" i="2"/>
  <c r="G131" i="2"/>
  <c r="H30" i="15"/>
  <c r="I36" i="15"/>
  <c r="I24" i="15"/>
  <c r="I39" i="15"/>
  <c r="I33" i="15"/>
  <c r="K18" i="15"/>
  <c r="I15" i="15"/>
  <c r="I21" i="15"/>
  <c r="I12" i="15"/>
  <c r="R40" i="14"/>
  <c r="O41" i="14"/>
  <c r="P41" i="14" s="1"/>
  <c r="O42" i="14" s="1"/>
  <c r="P42" i="14" s="1"/>
  <c r="O43" i="14" s="1"/>
  <c r="P43" i="14" s="1"/>
  <c r="O44" i="14" s="1"/>
  <c r="P44" i="14" s="1"/>
  <c r="O45" i="14" s="1"/>
  <c r="P45" i="14" s="1"/>
  <c r="O46" i="14" s="1"/>
  <c r="P46" i="14" s="1"/>
  <c r="O47" i="14" s="1"/>
  <c r="P47" i="14" s="1"/>
  <c r="O48" i="14" s="1"/>
  <c r="P48" i="14" s="1"/>
  <c r="O49" i="14" s="1"/>
  <c r="P49" i="14" s="1"/>
  <c r="O50" i="14" s="1"/>
  <c r="P50" i="14" s="1"/>
  <c r="O51" i="14" s="1"/>
  <c r="P51" i="14" s="1"/>
  <c r="O52" i="14" s="1"/>
  <c r="P52" i="14" s="1"/>
  <c r="O53" i="14" s="1"/>
  <c r="P53" i="14" s="1"/>
  <c r="O54" i="14" s="1"/>
  <c r="P54" i="14" s="1"/>
  <c r="O55" i="14" s="1"/>
  <c r="P55" i="14" s="1"/>
  <c r="O56" i="14" s="1"/>
  <c r="P56" i="14" s="1"/>
  <c r="O57" i="14" s="1"/>
  <c r="P57" i="14" s="1"/>
  <c r="O58" i="14" s="1"/>
  <c r="P58" i="14" s="1"/>
  <c r="O59" i="14" s="1"/>
  <c r="P59" i="14" s="1"/>
  <c r="O60" i="14" s="1"/>
  <c r="P60" i="14" s="1"/>
  <c r="O61" i="14" s="1"/>
  <c r="P61" i="14" s="1"/>
  <c r="O62" i="14" s="1"/>
  <c r="P62" i="14" s="1"/>
  <c r="O63" i="14" s="1"/>
  <c r="P63" i="14" s="1"/>
  <c r="G20" i="6" l="1"/>
  <c r="G6" i="2"/>
  <c r="H6" i="6"/>
  <c r="I10" i="11" s="1"/>
  <c r="H18" i="11"/>
  <c r="H19" i="11"/>
  <c r="D37" i="6"/>
  <c r="E9" i="7"/>
  <c r="F24" i="6"/>
  <c r="E33" i="6"/>
  <c r="E35" i="6" s="1"/>
  <c r="I30" i="15"/>
  <c r="J36" i="15"/>
  <c r="J21" i="15"/>
  <c r="J33" i="15"/>
  <c r="J39" i="15"/>
  <c r="J24" i="15"/>
  <c r="J15" i="15"/>
  <c r="J12" i="15"/>
  <c r="L18" i="15"/>
  <c r="M18" i="15" s="1"/>
  <c r="N18" i="15" s="1"/>
  <c r="O18" i="15" s="1"/>
  <c r="P18" i="15" s="1"/>
  <c r="Q18" i="15" s="1"/>
  <c r="R18" i="15" s="1"/>
  <c r="H20" i="6" l="1"/>
  <c r="I11" i="11"/>
  <c r="I6" i="6"/>
  <c r="J10" i="11" s="1"/>
  <c r="I18" i="11"/>
  <c r="I19" i="11"/>
  <c r="E37" i="6"/>
  <c r="F9" i="7"/>
  <c r="G24" i="6"/>
  <c r="F33" i="6"/>
  <c r="F35" i="6" s="1"/>
  <c r="S18" i="15"/>
  <c r="J30" i="15"/>
  <c r="K15" i="15"/>
  <c r="K24" i="15"/>
  <c r="K21" i="15"/>
  <c r="K36" i="15"/>
  <c r="K33" i="15"/>
  <c r="K12" i="15"/>
  <c r="K39" i="15"/>
  <c r="I20" i="6" l="1"/>
  <c r="J11" i="11"/>
  <c r="J6" i="6"/>
  <c r="K10" i="11" s="1"/>
  <c r="J19" i="11"/>
  <c r="J18" i="11"/>
  <c r="F37" i="6"/>
  <c r="G9" i="7"/>
  <c r="H24" i="6"/>
  <c r="G33" i="6"/>
  <c r="G35" i="6" s="1"/>
  <c r="T18" i="15"/>
  <c r="K30" i="15"/>
  <c r="L12" i="15"/>
  <c r="M12" i="15" s="1"/>
  <c r="N12" i="15" s="1"/>
  <c r="O12" i="15" s="1"/>
  <c r="P12" i="15" s="1"/>
  <c r="Q12" i="15" s="1"/>
  <c r="R12" i="15" s="1"/>
  <c r="S12" i="15" s="1"/>
  <c r="T12" i="15" s="1"/>
  <c r="L24" i="15"/>
  <c r="M24" i="15" s="1"/>
  <c r="N24" i="15" s="1"/>
  <c r="O24" i="15" s="1"/>
  <c r="P24" i="15" s="1"/>
  <c r="Q24" i="15" s="1"/>
  <c r="R24" i="15" s="1"/>
  <c r="S24" i="15" s="1"/>
  <c r="T24" i="15" s="1"/>
  <c r="L21" i="15"/>
  <c r="M21" i="15" s="1"/>
  <c r="N21" i="15" s="1"/>
  <c r="O21" i="15" s="1"/>
  <c r="P21" i="15" s="1"/>
  <c r="Q21" i="15" s="1"/>
  <c r="R21" i="15" s="1"/>
  <c r="S21" i="15" s="1"/>
  <c r="T21" i="15" s="1"/>
  <c r="L33" i="15"/>
  <c r="M33" i="15" s="1"/>
  <c r="N33" i="15" s="1"/>
  <c r="O33" i="15" s="1"/>
  <c r="P33" i="15" s="1"/>
  <c r="Q33" i="15" s="1"/>
  <c r="R33" i="15" s="1"/>
  <c r="S33" i="15" s="1"/>
  <c r="T33" i="15" s="1"/>
  <c r="U33" i="15" s="1"/>
  <c r="V33" i="15" s="1"/>
  <c r="W33" i="15" s="1"/>
  <c r="L39" i="15"/>
  <c r="M39" i="15" s="1"/>
  <c r="N39" i="15" s="1"/>
  <c r="O39" i="15" s="1"/>
  <c r="P39" i="15" s="1"/>
  <c r="Q39" i="15" s="1"/>
  <c r="R39" i="15" s="1"/>
  <c r="S39" i="15" s="1"/>
  <c r="T39" i="15" s="1"/>
  <c r="U39" i="15" s="1"/>
  <c r="V39" i="15" s="1"/>
  <c r="W39" i="15" s="1"/>
  <c r="L36" i="15"/>
  <c r="M36" i="15" s="1"/>
  <c r="N36" i="15" s="1"/>
  <c r="O36" i="15" s="1"/>
  <c r="P36" i="15" s="1"/>
  <c r="Q36" i="15" s="1"/>
  <c r="R36" i="15" s="1"/>
  <c r="S36" i="15" s="1"/>
  <c r="T36" i="15" s="1"/>
  <c r="U36" i="15" s="1"/>
  <c r="V36" i="15" s="1"/>
  <c r="W36" i="15" s="1"/>
  <c r="L15" i="15"/>
  <c r="M15" i="15" s="1"/>
  <c r="N15" i="15" s="1"/>
  <c r="O15" i="15" s="1"/>
  <c r="P15" i="15" s="1"/>
  <c r="Q15" i="15" s="1"/>
  <c r="R15" i="15" s="1"/>
  <c r="S15" i="15" s="1"/>
  <c r="T15" i="15" s="1"/>
  <c r="J20" i="6" l="1"/>
  <c r="K11" i="11"/>
  <c r="K6" i="6"/>
  <c r="K20" i="6" s="1"/>
  <c r="K19" i="11"/>
  <c r="K18" i="11"/>
  <c r="G37" i="6"/>
  <c r="H9" i="7"/>
  <c r="I24" i="6"/>
  <c r="H33" i="6"/>
  <c r="H35" i="6" s="1"/>
  <c r="X33" i="15"/>
  <c r="X39" i="15"/>
  <c r="X36" i="15"/>
  <c r="U24" i="15"/>
  <c r="U12" i="15"/>
  <c r="U18" i="15"/>
  <c r="U15" i="15"/>
  <c r="U21" i="15"/>
  <c r="L30" i="15"/>
  <c r="M30" i="15" s="1"/>
  <c r="N30" i="15" s="1"/>
  <c r="O30" i="15" s="1"/>
  <c r="P30" i="15" s="1"/>
  <c r="Q30" i="15" s="1"/>
  <c r="R30" i="15" s="1"/>
  <c r="S30" i="15" s="1"/>
  <c r="T30" i="15" s="1"/>
  <c r="U30" i="15" s="1"/>
  <c r="V30" i="15" s="1"/>
  <c r="W30" i="15" s="1"/>
  <c r="X30" i="15" s="1"/>
  <c r="L11" i="11" l="1"/>
  <c r="L10" i="11"/>
  <c r="L6" i="6"/>
  <c r="M10" i="11" s="1"/>
  <c r="L18" i="11"/>
  <c r="L19" i="11"/>
  <c r="H37" i="6"/>
  <c r="I9" i="7"/>
  <c r="J24" i="6"/>
  <c r="I33" i="6"/>
  <c r="I35" i="6" s="1"/>
  <c r="M11" i="11"/>
  <c r="Y36" i="15"/>
  <c r="Y30" i="15"/>
  <c r="Y39" i="15"/>
  <c r="Y33" i="15"/>
  <c r="V21" i="15"/>
  <c r="V24" i="15"/>
  <c r="V15" i="15"/>
  <c r="V18" i="15"/>
  <c r="V12" i="15"/>
  <c r="L20" i="6" l="1"/>
  <c r="M6" i="6"/>
  <c r="M20" i="6" s="1"/>
  <c r="M18" i="11"/>
  <c r="M19" i="11"/>
  <c r="K24" i="6"/>
  <c r="J33" i="6"/>
  <c r="J35" i="6" s="1"/>
  <c r="I37" i="6"/>
  <c r="J9" i="7"/>
  <c r="Z39" i="15"/>
  <c r="Z30" i="15"/>
  <c r="Z33" i="15"/>
  <c r="Z36" i="15"/>
  <c r="W18" i="15"/>
  <c r="W24" i="15"/>
  <c r="W15" i="15"/>
  <c r="W12" i="15"/>
  <c r="W21" i="15"/>
  <c r="N6" i="6" l="1"/>
  <c r="O10" i="11" s="1"/>
  <c r="J37" i="6"/>
  <c r="K9" i="7"/>
  <c r="L24" i="6"/>
  <c r="K33" i="6"/>
  <c r="K35" i="6" s="1"/>
  <c r="AA30" i="15"/>
  <c r="AA33" i="15"/>
  <c r="AA39" i="15"/>
  <c r="AA36" i="15"/>
  <c r="X12" i="15"/>
  <c r="X15" i="15"/>
  <c r="X24" i="15"/>
  <c r="X21" i="15"/>
  <c r="X18" i="15"/>
  <c r="O11" i="11" l="1"/>
  <c r="N20" i="6"/>
  <c r="O6" i="6"/>
  <c r="P10" i="11" s="1"/>
  <c r="O19" i="11"/>
  <c r="O18" i="11"/>
  <c r="M24" i="6"/>
  <c r="L33" i="6"/>
  <c r="L35" i="6" s="1"/>
  <c r="K37" i="6"/>
  <c r="L9" i="7"/>
  <c r="AB39" i="15"/>
  <c r="AC39" i="15" s="1"/>
  <c r="AC38" i="15" s="1"/>
  <c r="AB33" i="15"/>
  <c r="AC33" i="15" s="1"/>
  <c r="AC32" i="15" s="1"/>
  <c r="AB30" i="15"/>
  <c r="AC30" i="15" s="1"/>
  <c r="AC29" i="15" s="1"/>
  <c r="AB36" i="15"/>
  <c r="AC36" i="15" s="1"/>
  <c r="AC35" i="15" s="1"/>
  <c r="Y21" i="15"/>
  <c r="Y24" i="15"/>
  <c r="Y15" i="15"/>
  <c r="Y18" i="15"/>
  <c r="Y12" i="15"/>
  <c r="O20" i="6" l="1"/>
  <c r="P11" i="11"/>
  <c r="AC41" i="15"/>
  <c r="P6" i="6"/>
  <c r="Q10" i="11" s="1"/>
  <c r="P19" i="11"/>
  <c r="P18" i="11"/>
  <c r="L37" i="6"/>
  <c r="M9" i="7"/>
  <c r="N24" i="6"/>
  <c r="M33" i="6"/>
  <c r="M35" i="6" s="1"/>
  <c r="Z15" i="15"/>
  <c r="Z18" i="15"/>
  <c r="Z24" i="15"/>
  <c r="Z12" i="15"/>
  <c r="Z21" i="15"/>
  <c r="P20" i="6" l="1"/>
  <c r="Q11" i="11"/>
  <c r="Q6" i="6"/>
  <c r="R10" i="11" s="1"/>
  <c r="Q18" i="11"/>
  <c r="Q19" i="11"/>
  <c r="M37" i="6"/>
  <c r="N9" i="7"/>
  <c r="O24" i="6"/>
  <c r="N33" i="6"/>
  <c r="N35" i="6" s="1"/>
  <c r="AA24" i="15"/>
  <c r="AA18" i="15"/>
  <c r="AA15" i="15"/>
  <c r="AA12" i="15"/>
  <c r="AA21" i="15"/>
  <c r="Q20" i="6" l="1"/>
  <c r="R11" i="11"/>
  <c r="R6" i="6"/>
  <c r="R20" i="6" s="1"/>
  <c r="R18" i="11"/>
  <c r="R19" i="11"/>
  <c r="N37" i="6"/>
  <c r="O9" i="7"/>
  <c r="P24" i="6"/>
  <c r="O33" i="6"/>
  <c r="O35" i="6" s="1"/>
  <c r="AB24" i="15"/>
  <c r="AC24" i="15" s="1"/>
  <c r="AC23" i="15" s="1"/>
  <c r="AB12" i="15"/>
  <c r="AC12" i="15" s="1"/>
  <c r="AC11" i="15" s="1"/>
  <c r="AB15" i="15"/>
  <c r="AC15" i="15" s="1"/>
  <c r="AC14" i="15" s="1"/>
  <c r="AB18" i="15"/>
  <c r="AC18" i="15" s="1"/>
  <c r="AC17" i="15" s="1"/>
  <c r="AB21" i="15"/>
  <c r="AC21" i="15" s="1"/>
  <c r="AC20" i="15" s="1"/>
  <c r="S11" i="11" l="1"/>
  <c r="AC26" i="15"/>
  <c r="AC45" i="15" s="1"/>
  <c r="S10" i="11"/>
  <c r="S6" i="6"/>
  <c r="T11" i="11" s="1"/>
  <c r="S19" i="11"/>
  <c r="S18" i="11"/>
  <c r="Q24" i="6"/>
  <c r="P33" i="6"/>
  <c r="P35" i="6" s="1"/>
  <c r="O37" i="6"/>
  <c r="P9" i="7"/>
  <c r="S20" i="6" l="1"/>
  <c r="T10" i="11"/>
  <c r="T6" i="6"/>
  <c r="U10" i="11" s="1"/>
  <c r="T19" i="11"/>
  <c r="T18" i="11"/>
  <c r="P37" i="6"/>
  <c r="Q9" i="7"/>
  <c r="R24" i="6"/>
  <c r="Q33" i="6"/>
  <c r="Q35" i="6" s="1"/>
  <c r="T20" i="6" l="1"/>
  <c r="U11" i="11"/>
  <c r="U6" i="6"/>
  <c r="V10" i="11" s="1"/>
  <c r="U19" i="11"/>
  <c r="U18" i="11"/>
  <c r="S24" i="6"/>
  <c r="R33" i="6"/>
  <c r="R35" i="6" s="1"/>
  <c r="Q37" i="6"/>
  <c r="R9" i="7"/>
  <c r="V11" i="11" l="1"/>
  <c r="U20" i="6"/>
  <c r="V6" i="6"/>
  <c r="W10" i="11" s="1"/>
  <c r="V18" i="11"/>
  <c r="V19" i="11"/>
  <c r="R37" i="6"/>
  <c r="S9" i="7"/>
  <c r="T24" i="6"/>
  <c r="S33" i="6"/>
  <c r="S35" i="6" s="1"/>
  <c r="V20" i="6" l="1"/>
  <c r="W11" i="11"/>
  <c r="W6" i="6"/>
  <c r="X10" i="11" s="1"/>
  <c r="W19" i="11"/>
  <c r="W18" i="11"/>
  <c r="U24" i="6"/>
  <c r="T33" i="6"/>
  <c r="T35" i="6" s="1"/>
  <c r="S37" i="6"/>
  <c r="T9" i="7"/>
  <c r="W20" i="6" l="1"/>
  <c r="X11" i="11"/>
  <c r="X6" i="6"/>
  <c r="X20" i="6" s="1"/>
  <c r="X19" i="11"/>
  <c r="X18" i="11"/>
  <c r="T37" i="6"/>
  <c r="U9" i="7"/>
  <c r="V24" i="6"/>
  <c r="U33" i="6"/>
  <c r="U35" i="6" s="1"/>
  <c r="Y11" i="11" l="1"/>
  <c r="Y10" i="11"/>
  <c r="Y6" i="6"/>
  <c r="Z10" i="11" s="1"/>
  <c r="Y18" i="11"/>
  <c r="Y19" i="11"/>
  <c r="W24" i="6"/>
  <c r="V33" i="6"/>
  <c r="V35" i="6" s="1"/>
  <c r="U37" i="6"/>
  <c r="V9" i="7"/>
  <c r="Y20" i="6" l="1"/>
  <c r="Z11" i="11"/>
  <c r="Z6" i="6"/>
  <c r="AA10" i="11" s="1"/>
  <c r="Z18" i="11"/>
  <c r="Z19" i="11"/>
  <c r="V37" i="6"/>
  <c r="W9" i="7"/>
  <c r="X24" i="6"/>
  <c r="W33" i="6"/>
  <c r="W35" i="6" s="1"/>
  <c r="Z20" i="6" l="1"/>
  <c r="AA11" i="11"/>
  <c r="AA6" i="6"/>
  <c r="AA20" i="6" s="1"/>
  <c r="AA19" i="11"/>
  <c r="AA18" i="11"/>
  <c r="Y24" i="6"/>
  <c r="X33" i="6"/>
  <c r="X35" i="6" s="1"/>
  <c r="W37" i="6"/>
  <c r="X9" i="7"/>
  <c r="AB11" i="11" l="1"/>
  <c r="AB10" i="11"/>
  <c r="AB19" i="11"/>
  <c r="AB18" i="11"/>
  <c r="X37" i="6"/>
  <c r="Y9" i="7"/>
  <c r="Z24" i="6"/>
  <c r="Y33" i="6"/>
  <c r="Y35" i="6" s="1"/>
  <c r="Y37" i="6" l="1"/>
  <c r="Z9" i="7"/>
  <c r="AA24" i="6"/>
  <c r="AA33" i="6" s="1"/>
  <c r="AA35" i="6" s="1"/>
  <c r="Z33" i="6"/>
  <c r="Z35" i="6" s="1"/>
  <c r="Z37" i="6" l="1"/>
  <c r="AA9" i="7"/>
  <c r="AA37" i="6"/>
  <c r="AB9" i="7"/>
  <c r="C14" i="7" l="1"/>
  <c r="B4" i="13" s="1"/>
  <c r="C12" i="7"/>
  <c r="C17" i="11"/>
  <c r="C22" i="11" s="1"/>
  <c r="C8" i="11"/>
  <c r="C12" i="11" s="1"/>
  <c r="A30" i="11"/>
  <c r="C28" i="11"/>
  <c r="D28" i="11"/>
  <c r="C29" i="11"/>
  <c r="B29" i="11"/>
  <c r="B28" i="11"/>
  <c r="A29" i="11"/>
  <c r="A28" i="11"/>
  <c r="C21" i="11" l="1"/>
  <c r="C20" i="11"/>
  <c r="C14" i="11"/>
  <c r="C13" i="11"/>
  <c r="A9" i="4"/>
  <c r="D13" i="10"/>
  <c r="F13" i="10" s="1"/>
  <c r="J3" i="12"/>
  <c r="I3" i="12" l="1"/>
  <c r="F3" i="12"/>
  <c r="E3" i="12"/>
  <c r="N3" i="12"/>
  <c r="M3" i="12"/>
  <c r="L3" i="12"/>
  <c r="H3" i="12"/>
  <c r="K3" i="12"/>
  <c r="G3" i="12"/>
  <c r="C23" i="11"/>
  <c r="C15" i="11"/>
  <c r="C24" i="11" l="1"/>
  <c r="C10" i="7" s="1"/>
  <c r="C13" i="3"/>
  <c r="C11" i="3"/>
  <c r="C12" i="3"/>
  <c r="D14" i="10"/>
  <c r="F14" i="10" s="1"/>
  <c r="I14" i="9"/>
  <c r="I37" i="9"/>
  <c r="I12" i="9"/>
  <c r="I11" i="9"/>
  <c r="I40" i="9"/>
  <c r="I39" i="9"/>
  <c r="I38" i="9"/>
  <c r="I34" i="9"/>
  <c r="I33" i="9"/>
  <c r="I32" i="9"/>
  <c r="I31" i="9"/>
  <c r="I30" i="9"/>
  <c r="I24" i="9"/>
  <c r="I23" i="9"/>
  <c r="I22" i="9"/>
  <c r="I21" i="9"/>
  <c r="I20" i="9"/>
  <c r="I13" i="9"/>
  <c r="I10" i="9"/>
  <c r="G50" i="3"/>
  <c r="I18" i="9" l="1"/>
  <c r="I19" i="9"/>
  <c r="I16" i="9"/>
  <c r="F12" i="10"/>
  <c r="I36" i="9"/>
  <c r="N19" i="11" l="1"/>
  <c r="N18" i="11"/>
  <c r="N11" i="11"/>
  <c r="N10" i="11"/>
  <c r="I8" i="9"/>
  <c r="B4" i="12" s="1"/>
  <c r="I15" i="9"/>
  <c r="I29" i="9"/>
  <c r="B5" i="12" s="1"/>
  <c r="F8" i="10"/>
  <c r="F16" i="10" l="1"/>
  <c r="G10" i="10" s="1"/>
  <c r="J8" i="10"/>
  <c r="AA5" i="13" s="1"/>
  <c r="I8" i="10"/>
  <c r="I44" i="9"/>
  <c r="O5" i="12"/>
  <c r="T5" i="12"/>
  <c r="U5" i="12"/>
  <c r="X5" i="12"/>
  <c r="S5" i="12"/>
  <c r="W5" i="12"/>
  <c r="V5" i="12"/>
  <c r="P5" i="12"/>
  <c r="Q5" i="12"/>
  <c r="R5" i="12"/>
  <c r="O4" i="12"/>
  <c r="Q4" i="12"/>
  <c r="S4" i="12"/>
  <c r="U4" i="12"/>
  <c r="W4" i="12"/>
  <c r="Y4" i="12"/>
  <c r="AA4" i="12"/>
  <c r="AC4" i="12"/>
  <c r="P4" i="12"/>
  <c r="R4" i="12"/>
  <c r="T4" i="12"/>
  <c r="V4" i="12"/>
  <c r="X4" i="12"/>
  <c r="Z4" i="12"/>
  <c r="AB4" i="12"/>
  <c r="M5" i="13" l="1"/>
  <c r="G14" i="10"/>
  <c r="G13" i="10"/>
  <c r="G9" i="10"/>
  <c r="G8" i="10" s="1"/>
  <c r="G12" i="10" l="1"/>
  <c r="G16" i="10" s="1"/>
  <c r="E2" i="12" l="1"/>
  <c r="E7" i="12" s="1"/>
  <c r="D14" i="7" s="1"/>
  <c r="C4" i="13" s="1"/>
  <c r="M2" i="12"/>
  <c r="M7" i="12" s="1"/>
  <c r="L14" i="7" s="1"/>
  <c r="K4" i="13" s="1"/>
  <c r="U2" i="12"/>
  <c r="U7" i="12" s="1"/>
  <c r="T14" i="7" s="1"/>
  <c r="S4" i="13" s="1"/>
  <c r="AC2" i="12"/>
  <c r="AC7" i="12" s="1"/>
  <c r="AB14" i="7" s="1"/>
  <c r="AA4" i="13" s="1"/>
  <c r="S2" i="12"/>
  <c r="S7" i="12" s="1"/>
  <c r="R14" i="7" s="1"/>
  <c r="Q4" i="13" s="1"/>
  <c r="AB2" i="12"/>
  <c r="AB7" i="12" s="1"/>
  <c r="AA14" i="7" s="1"/>
  <c r="Z4" i="13" s="1"/>
  <c r="F2" i="12"/>
  <c r="F7" i="12" s="1"/>
  <c r="E14" i="7" s="1"/>
  <c r="D4" i="13" s="1"/>
  <c r="N2" i="12"/>
  <c r="N7" i="12" s="1"/>
  <c r="M14" i="7" s="1"/>
  <c r="L4" i="13" s="1"/>
  <c r="V2" i="12"/>
  <c r="V7" i="12" s="1"/>
  <c r="U14" i="7" s="1"/>
  <c r="T4" i="13" s="1"/>
  <c r="T2" i="12"/>
  <c r="T7" i="12" s="1"/>
  <c r="S14" i="7" s="1"/>
  <c r="R4" i="13" s="1"/>
  <c r="G2" i="12"/>
  <c r="G7" i="12" s="1"/>
  <c r="F14" i="7" s="1"/>
  <c r="E4" i="13" s="1"/>
  <c r="O2" i="12"/>
  <c r="O7" i="12" s="1"/>
  <c r="N14" i="7" s="1"/>
  <c r="M4" i="13" s="1"/>
  <c r="W2" i="12"/>
  <c r="W7" i="12" s="1"/>
  <c r="V14" i="7" s="1"/>
  <c r="U4" i="13" s="1"/>
  <c r="H2" i="12"/>
  <c r="H7" i="12" s="1"/>
  <c r="G14" i="7" s="1"/>
  <c r="F4" i="13" s="1"/>
  <c r="P2" i="12"/>
  <c r="P7" i="12" s="1"/>
  <c r="O14" i="7" s="1"/>
  <c r="N4" i="13" s="1"/>
  <c r="X2" i="12"/>
  <c r="X7" i="12" s="1"/>
  <c r="W14" i="7" s="1"/>
  <c r="V4" i="13" s="1"/>
  <c r="K2" i="12"/>
  <c r="K7" i="12" s="1"/>
  <c r="J14" i="7" s="1"/>
  <c r="I4" i="13" s="1"/>
  <c r="I2" i="12"/>
  <c r="I7" i="12" s="1"/>
  <c r="H14" i="7" s="1"/>
  <c r="G4" i="13" s="1"/>
  <c r="Q2" i="12"/>
  <c r="Q7" i="12" s="1"/>
  <c r="P14" i="7" s="1"/>
  <c r="O4" i="13" s="1"/>
  <c r="Y2" i="12"/>
  <c r="Y7" i="12" s="1"/>
  <c r="X14" i="7" s="1"/>
  <c r="W4" i="13" s="1"/>
  <c r="Z2" i="12"/>
  <c r="Z7" i="12" s="1"/>
  <c r="Y14" i="7" s="1"/>
  <c r="X4" i="13" s="1"/>
  <c r="J2" i="12"/>
  <c r="J7" i="12" s="1"/>
  <c r="I14" i="7" s="1"/>
  <c r="H4" i="13" s="1"/>
  <c r="R2" i="12"/>
  <c r="R7" i="12" s="1"/>
  <c r="Q14" i="7" s="1"/>
  <c r="P4" i="13" s="1"/>
  <c r="AA2" i="12"/>
  <c r="AA7" i="12" s="1"/>
  <c r="Z14" i="7" s="1"/>
  <c r="Y4" i="13" s="1"/>
  <c r="L2" i="12"/>
  <c r="L7" i="12" s="1"/>
  <c r="K14" i="7" s="1"/>
  <c r="J4" i="13" s="1"/>
  <c r="D37" i="4" l="1"/>
  <c r="G14" i="3"/>
  <c r="C27" i="3"/>
  <c r="G27" i="3" s="1"/>
  <c r="C21" i="3"/>
  <c r="G21" i="3" s="1"/>
  <c r="C18" i="3"/>
  <c r="G18" i="3" s="1"/>
  <c r="L27" i="4" l="1"/>
  <c r="T27" i="4"/>
  <c r="AB27" i="4"/>
  <c r="J27" i="4"/>
  <c r="M27" i="4"/>
  <c r="U27" i="4"/>
  <c r="AC27" i="4"/>
  <c r="N27" i="4"/>
  <c r="V27" i="4"/>
  <c r="AD27" i="4"/>
  <c r="O27" i="4"/>
  <c r="W27" i="4"/>
  <c r="G27" i="4"/>
  <c r="H27" i="4"/>
  <c r="P27" i="4"/>
  <c r="X27" i="4"/>
  <c r="R27" i="4"/>
  <c r="I27" i="4"/>
  <c r="Q27" i="4"/>
  <c r="Y27" i="4"/>
  <c r="K27" i="4"/>
  <c r="S27" i="4"/>
  <c r="AA27" i="4"/>
  <c r="Z27" i="4"/>
  <c r="C31" i="3"/>
  <c r="G31" i="3" s="1"/>
  <c r="G21" i="8"/>
  <c r="G20" i="8"/>
  <c r="G19" i="8"/>
  <c r="G18" i="8"/>
  <c r="G17" i="8"/>
  <c r="F16" i="8"/>
  <c r="E16" i="8"/>
  <c r="E11" i="8"/>
  <c r="F11" i="8" s="1"/>
  <c r="G11" i="8" s="1"/>
  <c r="H11" i="8" s="1"/>
  <c r="I11" i="8" s="1"/>
  <c r="J11" i="8" s="1"/>
  <c r="K11" i="8" s="1"/>
  <c r="L11" i="8" s="1"/>
  <c r="M11" i="8" s="1"/>
  <c r="N11" i="8" s="1"/>
  <c r="O11" i="8" s="1"/>
  <c r="P11" i="8" s="1"/>
  <c r="Q11" i="8" s="1"/>
  <c r="R11" i="8" s="1"/>
  <c r="S11" i="8" s="1"/>
  <c r="T11" i="8" s="1"/>
  <c r="U11" i="8" s="1"/>
  <c r="V11" i="8" s="1"/>
  <c r="W11" i="8" s="1"/>
  <c r="X11" i="8" s="1"/>
  <c r="Y11" i="8" s="1"/>
  <c r="Z11" i="8" s="1"/>
  <c r="AA11" i="8" s="1"/>
  <c r="G44" i="3" l="1"/>
  <c r="E6" i="4" s="1"/>
  <c r="D26" i="4" l="1"/>
  <c r="F26" i="4" s="1"/>
  <c r="D36" i="4"/>
  <c r="B37" i="4"/>
  <c r="B36" i="4"/>
  <c r="D35" i="4"/>
  <c r="B35" i="4"/>
  <c r="KI37" i="4"/>
  <c r="AG37" i="4"/>
  <c r="BK37" i="4"/>
  <c r="BS37" i="4"/>
  <c r="CE37" i="4"/>
  <c r="CQ37" i="4"/>
  <c r="CY37" i="4"/>
  <c r="EM37" i="4"/>
  <c r="FC37" i="4"/>
  <c r="FK37" i="4"/>
  <c r="FS37" i="4"/>
  <c r="GQ37" i="4"/>
  <c r="IE37" i="4"/>
  <c r="IU37" i="4"/>
  <c r="JC37" i="4"/>
  <c r="JK37" i="4"/>
  <c r="L37" i="4"/>
  <c r="AC150" i="3"/>
  <c r="AC151" i="3" s="1"/>
  <c r="AB150" i="3"/>
  <c r="AB151" i="3" s="1"/>
  <c r="AA150" i="3"/>
  <c r="AA152" i="3" s="1"/>
  <c r="Z150" i="3"/>
  <c r="Z152" i="3" s="1"/>
  <c r="Y150" i="3"/>
  <c r="Y151" i="3" s="1"/>
  <c r="X150" i="3"/>
  <c r="X151" i="3" s="1"/>
  <c r="W150" i="3"/>
  <c r="W152" i="3" s="1"/>
  <c r="V150" i="3"/>
  <c r="V152" i="3" s="1"/>
  <c r="U150" i="3"/>
  <c r="U151" i="3" s="1"/>
  <c r="T150" i="3"/>
  <c r="T151" i="3" s="1"/>
  <c r="S150" i="3"/>
  <c r="S152" i="3" s="1"/>
  <c r="R150" i="3"/>
  <c r="R152" i="3" s="1"/>
  <c r="Q150" i="3"/>
  <c r="Q151" i="3" s="1"/>
  <c r="P150" i="3"/>
  <c r="P151" i="3" s="1"/>
  <c r="O150" i="3"/>
  <c r="O152" i="3" s="1"/>
  <c r="N150" i="3"/>
  <c r="N152" i="3" s="1"/>
  <c r="M150" i="3"/>
  <c r="M151" i="3" s="1"/>
  <c r="L150" i="3"/>
  <c r="L151" i="3" s="1"/>
  <c r="K150" i="3"/>
  <c r="K152" i="3" s="1"/>
  <c r="J150" i="3"/>
  <c r="J152" i="3" s="1"/>
  <c r="I150" i="3"/>
  <c r="I151" i="3" s="1"/>
  <c r="H150" i="3"/>
  <c r="H151" i="3" s="1"/>
  <c r="G150" i="3"/>
  <c r="G152" i="3" s="1"/>
  <c r="F150" i="3"/>
  <c r="F152" i="3" s="1"/>
  <c r="E150" i="3"/>
  <c r="E151" i="3" s="1"/>
  <c r="D150" i="3"/>
  <c r="D151" i="3" s="1"/>
  <c r="A16" i="4"/>
  <c r="A15" i="4"/>
  <c r="A14" i="4"/>
  <c r="B27" i="4"/>
  <c r="B26" i="4"/>
  <c r="B25" i="4"/>
  <c r="G25" i="4" l="1"/>
  <c r="K25" i="4"/>
  <c r="O25" i="4"/>
  <c r="S25" i="4"/>
  <c r="W25" i="4"/>
  <c r="AA25" i="4"/>
  <c r="H25" i="4"/>
  <c r="AJ35" i="4" s="1"/>
  <c r="L25" i="4"/>
  <c r="P25" i="4"/>
  <c r="T25" i="4"/>
  <c r="X25" i="4"/>
  <c r="AB25" i="4"/>
  <c r="J26" i="4"/>
  <c r="L26" i="4"/>
  <c r="N26" i="4"/>
  <c r="P26" i="4"/>
  <c r="R26" i="4"/>
  <c r="T26" i="4"/>
  <c r="V26" i="4"/>
  <c r="X26" i="4"/>
  <c r="Z26" i="4"/>
  <c r="AB26" i="4"/>
  <c r="AD26" i="4"/>
  <c r="G26" i="4"/>
  <c r="E6" i="7" s="1"/>
  <c r="I26" i="4"/>
  <c r="K26" i="4"/>
  <c r="M26" i="4"/>
  <c r="O26" i="4"/>
  <c r="Q26" i="4"/>
  <c r="S26" i="4"/>
  <c r="U26" i="4"/>
  <c r="W26" i="4"/>
  <c r="Y26" i="4"/>
  <c r="AA26" i="4"/>
  <c r="AC26" i="4"/>
  <c r="H26" i="4"/>
  <c r="AK37" i="4"/>
  <c r="P37" i="4"/>
  <c r="KQ37" i="4"/>
  <c r="H37" i="4"/>
  <c r="DG37" i="4"/>
  <c r="CI37" i="4"/>
  <c r="GY37" i="4"/>
  <c r="CA37" i="4"/>
  <c r="AA7" i="7"/>
  <c r="JV37" i="4"/>
  <c r="JZ37" i="4"/>
  <c r="KD37" i="4"/>
  <c r="JX37" i="4"/>
  <c r="KB37" i="4"/>
  <c r="KF37" i="4"/>
  <c r="KC37" i="4"/>
  <c r="JW37" i="4"/>
  <c r="KE37" i="4"/>
  <c r="JY37" i="4"/>
  <c r="KG37" i="4"/>
  <c r="S7" i="7"/>
  <c r="GD37" i="4"/>
  <c r="GH37" i="4"/>
  <c r="GL37" i="4"/>
  <c r="GF37" i="4"/>
  <c r="GJ37" i="4"/>
  <c r="GN37" i="4"/>
  <c r="GK37" i="4"/>
  <c r="GE37" i="4"/>
  <c r="GM37" i="4"/>
  <c r="GG37" i="4"/>
  <c r="GO37" i="4"/>
  <c r="G7" i="7"/>
  <c r="AP37" i="4"/>
  <c r="AT37" i="4"/>
  <c r="AX37" i="4"/>
  <c r="AR37" i="4"/>
  <c r="AV37" i="4"/>
  <c r="AZ37" i="4"/>
  <c r="AW37" i="4"/>
  <c r="AQ37" i="4"/>
  <c r="AY37" i="4"/>
  <c r="AS37" i="4"/>
  <c r="BA37" i="4"/>
  <c r="AU37" i="4"/>
  <c r="Z7" i="7"/>
  <c r="JJ37" i="4"/>
  <c r="JN37" i="4"/>
  <c r="JR37" i="4"/>
  <c r="JL37" i="4"/>
  <c r="JP37" i="4"/>
  <c r="JT37" i="4"/>
  <c r="JM37" i="4"/>
  <c r="JU37" i="4"/>
  <c r="JO37" i="4"/>
  <c r="JQ37" i="4"/>
  <c r="V7" i="7"/>
  <c r="HN37" i="4"/>
  <c r="HR37" i="4"/>
  <c r="HV37" i="4"/>
  <c r="HP37" i="4"/>
  <c r="HT37" i="4"/>
  <c r="HX37" i="4"/>
  <c r="HQ37" i="4"/>
  <c r="HY37" i="4"/>
  <c r="HS37" i="4"/>
  <c r="HU37" i="4"/>
  <c r="FR37" i="4"/>
  <c r="FV37" i="4"/>
  <c r="FZ37" i="4"/>
  <c r="FT37" i="4"/>
  <c r="FX37" i="4"/>
  <c r="GB37" i="4"/>
  <c r="R7" i="7"/>
  <c r="FU37" i="4"/>
  <c r="GC37" i="4"/>
  <c r="FW37" i="4"/>
  <c r="FY37" i="4"/>
  <c r="N7" i="7"/>
  <c r="DV37" i="4"/>
  <c r="DZ37" i="4"/>
  <c r="ED37" i="4"/>
  <c r="DX37" i="4"/>
  <c r="EB37" i="4"/>
  <c r="EF37" i="4"/>
  <c r="DY37" i="4"/>
  <c r="EG37" i="4"/>
  <c r="EA37" i="4"/>
  <c r="EC37" i="4"/>
  <c r="N37" i="4"/>
  <c r="HW37" i="4"/>
  <c r="EE37" i="4"/>
  <c r="O7" i="7"/>
  <c r="EH37" i="4"/>
  <c r="EL37" i="4"/>
  <c r="EP37" i="4"/>
  <c r="EJ37" i="4"/>
  <c r="EN37" i="4"/>
  <c r="ER37" i="4"/>
  <c r="EO37" i="4"/>
  <c r="EI37" i="4"/>
  <c r="EQ37" i="4"/>
  <c r="EK37" i="4"/>
  <c r="ES37" i="4"/>
  <c r="Q7" i="7"/>
  <c r="FF37" i="4"/>
  <c r="FJ37" i="4"/>
  <c r="FN37" i="4"/>
  <c r="FH37" i="4"/>
  <c r="FL37" i="4"/>
  <c r="FP37" i="4"/>
  <c r="FM37" i="4"/>
  <c r="FG37" i="4"/>
  <c r="FO37" i="4"/>
  <c r="FI37" i="4"/>
  <c r="FQ37" i="4"/>
  <c r="M7" i="7"/>
  <c r="DJ37" i="4"/>
  <c r="DN37" i="4"/>
  <c r="DR37" i="4"/>
  <c r="DL37" i="4"/>
  <c r="DP37" i="4"/>
  <c r="DT37" i="4"/>
  <c r="DQ37" i="4"/>
  <c r="DK37" i="4"/>
  <c r="DS37" i="4"/>
  <c r="DM37" i="4"/>
  <c r="DU37" i="4"/>
  <c r="I7" i="7"/>
  <c r="BN37" i="4"/>
  <c r="BR37" i="4"/>
  <c r="BV37" i="4"/>
  <c r="BP37" i="4"/>
  <c r="BT37" i="4"/>
  <c r="BX37" i="4"/>
  <c r="BU37" i="4"/>
  <c r="BO37" i="4"/>
  <c r="BW37" i="4"/>
  <c r="BQ37" i="4"/>
  <c r="BY37" i="4"/>
  <c r="E7" i="7"/>
  <c r="R37" i="4"/>
  <c r="V37" i="4"/>
  <c r="Z37" i="4"/>
  <c r="S37" i="4"/>
  <c r="W37" i="4"/>
  <c r="AA37" i="4"/>
  <c r="T37" i="4"/>
  <c r="X37" i="4"/>
  <c r="AB37" i="4"/>
  <c r="Y37" i="4"/>
  <c r="AC37" i="4"/>
  <c r="KA37" i="4"/>
  <c r="HO37" i="4"/>
  <c r="GI37" i="4"/>
  <c r="DW37" i="4"/>
  <c r="U37" i="4"/>
  <c r="W7" i="7"/>
  <c r="HZ37" i="4"/>
  <c r="ID37" i="4"/>
  <c r="IH37" i="4"/>
  <c r="IB37" i="4"/>
  <c r="IF37" i="4"/>
  <c r="IJ37" i="4"/>
  <c r="IG37" i="4"/>
  <c r="IA37" i="4"/>
  <c r="II37" i="4"/>
  <c r="IC37" i="4"/>
  <c r="IK37" i="4"/>
  <c r="K7" i="7"/>
  <c r="CL37" i="4"/>
  <c r="CP37" i="4"/>
  <c r="CT37" i="4"/>
  <c r="CN37" i="4"/>
  <c r="CR37" i="4"/>
  <c r="CV37" i="4"/>
  <c r="CS37" i="4"/>
  <c r="CM37" i="4"/>
  <c r="CU37" i="4"/>
  <c r="CO37" i="4"/>
  <c r="CW37" i="4"/>
  <c r="Y7" i="7"/>
  <c r="IX37" i="4"/>
  <c r="JB37" i="4"/>
  <c r="JF37" i="4"/>
  <c r="IZ37" i="4"/>
  <c r="JD37" i="4"/>
  <c r="JH37" i="4"/>
  <c r="JE37" i="4"/>
  <c r="IY37" i="4"/>
  <c r="JG37" i="4"/>
  <c r="JA37" i="4"/>
  <c r="JI37" i="4"/>
  <c r="U7" i="7"/>
  <c r="HB37" i="4"/>
  <c r="HF37" i="4"/>
  <c r="HJ37" i="4"/>
  <c r="HD37" i="4"/>
  <c r="HH37" i="4"/>
  <c r="HL37" i="4"/>
  <c r="HI37" i="4"/>
  <c r="HC37" i="4"/>
  <c r="HK37" i="4"/>
  <c r="HE37" i="4"/>
  <c r="HM37" i="4"/>
  <c r="D7" i="7"/>
  <c r="I37" i="4"/>
  <c r="M37" i="4"/>
  <c r="Q37" i="4"/>
  <c r="F37" i="4"/>
  <c r="G37" i="4"/>
  <c r="K37" i="4"/>
  <c r="O37" i="4"/>
  <c r="X7" i="7"/>
  <c r="IL37" i="4"/>
  <c r="IP37" i="4"/>
  <c r="IT37" i="4"/>
  <c r="IN37" i="4"/>
  <c r="IR37" i="4"/>
  <c r="IV37" i="4"/>
  <c r="IO37" i="4"/>
  <c r="IW37" i="4"/>
  <c r="IQ37" i="4"/>
  <c r="IS37" i="4"/>
  <c r="T7" i="7"/>
  <c r="GP37" i="4"/>
  <c r="GT37" i="4"/>
  <c r="GX37" i="4"/>
  <c r="GR37" i="4"/>
  <c r="GV37" i="4"/>
  <c r="GZ37" i="4"/>
  <c r="GS37" i="4"/>
  <c r="HA37" i="4"/>
  <c r="GU37" i="4"/>
  <c r="GW37" i="4"/>
  <c r="P7" i="7"/>
  <c r="ET37" i="4"/>
  <c r="EX37" i="4"/>
  <c r="FB37" i="4"/>
  <c r="EV37" i="4"/>
  <c r="EZ37" i="4"/>
  <c r="FD37" i="4"/>
  <c r="EW37" i="4"/>
  <c r="FE37" i="4"/>
  <c r="EY37" i="4"/>
  <c r="FA37" i="4"/>
  <c r="L7" i="7"/>
  <c r="CX37" i="4"/>
  <c r="DB37" i="4"/>
  <c r="DF37" i="4"/>
  <c r="CZ37" i="4"/>
  <c r="DD37" i="4"/>
  <c r="DH37" i="4"/>
  <c r="DA37" i="4"/>
  <c r="DI37" i="4"/>
  <c r="DC37" i="4"/>
  <c r="DE37" i="4"/>
  <c r="H7" i="7"/>
  <c r="BB37" i="4"/>
  <c r="BF37" i="4"/>
  <c r="BJ37" i="4"/>
  <c r="BD37" i="4"/>
  <c r="BH37" i="4"/>
  <c r="BL37" i="4"/>
  <c r="BE37" i="4"/>
  <c r="BM37" i="4"/>
  <c r="BG37" i="4"/>
  <c r="BI37" i="4"/>
  <c r="J37" i="4"/>
  <c r="JS37" i="4"/>
  <c r="IM37" i="4"/>
  <c r="HG37" i="4"/>
  <c r="GA37" i="4"/>
  <c r="EU37" i="4"/>
  <c r="DO37" i="4"/>
  <c r="BC37" i="4"/>
  <c r="AB7" i="7"/>
  <c r="KH37" i="4"/>
  <c r="KL37" i="4"/>
  <c r="KP37" i="4"/>
  <c r="KJ37" i="4"/>
  <c r="KN37" i="4"/>
  <c r="KR37" i="4"/>
  <c r="KO37" i="4"/>
  <c r="CG37" i="4"/>
  <c r="KM37" i="4"/>
  <c r="J7" i="7"/>
  <c r="BZ37" i="4"/>
  <c r="CD37" i="4"/>
  <c r="CH37" i="4"/>
  <c r="CB37" i="4"/>
  <c r="CF37" i="4"/>
  <c r="CJ37" i="4"/>
  <c r="F7" i="7"/>
  <c r="AD37" i="4"/>
  <c r="AH37" i="4"/>
  <c r="AL37" i="4"/>
  <c r="AE37" i="4"/>
  <c r="AI37" i="4"/>
  <c r="AM37" i="4"/>
  <c r="AF37" i="4"/>
  <c r="AJ37" i="4"/>
  <c r="AN37" i="4"/>
  <c r="KS37" i="4"/>
  <c r="KK37" i="4"/>
  <c r="CK37" i="4"/>
  <c r="CC37" i="4"/>
  <c r="AO37" i="4"/>
  <c r="F151" i="3"/>
  <c r="J151" i="3"/>
  <c r="N151" i="3"/>
  <c r="R151" i="3"/>
  <c r="V151" i="3"/>
  <c r="Z151" i="3"/>
  <c r="D152" i="3"/>
  <c r="D153" i="3" s="1"/>
  <c r="H152" i="3"/>
  <c r="I25" i="4" s="1"/>
  <c r="L152" i="3"/>
  <c r="M25" i="4" s="1"/>
  <c r="P152" i="3"/>
  <c r="Q25" i="4" s="1"/>
  <c r="T152" i="3"/>
  <c r="U25" i="4" s="1"/>
  <c r="X152" i="3"/>
  <c r="Y25" i="4" s="1"/>
  <c r="AB152" i="3"/>
  <c r="AC25" i="4" s="1"/>
  <c r="G151" i="3"/>
  <c r="K151" i="3"/>
  <c r="O151" i="3"/>
  <c r="S151" i="3"/>
  <c r="W151" i="3"/>
  <c r="AA151" i="3"/>
  <c r="E152" i="3"/>
  <c r="F25" i="4" s="1"/>
  <c r="I152" i="3"/>
  <c r="J25" i="4" s="1"/>
  <c r="M152" i="3"/>
  <c r="N25" i="4" s="1"/>
  <c r="Q152" i="3"/>
  <c r="R25" i="4" s="1"/>
  <c r="U152" i="3"/>
  <c r="V25" i="4" s="1"/>
  <c r="Y152" i="3"/>
  <c r="Z25" i="4" s="1"/>
  <c r="AC152" i="3"/>
  <c r="AD25" i="4" s="1"/>
  <c r="AD35" i="4" l="1"/>
  <c r="AO35" i="4"/>
  <c r="Y36" i="4"/>
  <c r="V36" i="4"/>
  <c r="AA36" i="4"/>
  <c r="T36" i="4"/>
  <c r="S36" i="4"/>
  <c r="R36" i="4"/>
  <c r="AM35" i="4"/>
  <c r="AK35" i="4"/>
  <c r="AL35" i="4"/>
  <c r="AH35" i="4"/>
  <c r="AE35" i="4"/>
  <c r="F4" i="7"/>
  <c r="F17" i="11" s="1"/>
  <c r="F20" i="11" s="1"/>
  <c r="AF35" i="4"/>
  <c r="AI35" i="4"/>
  <c r="AG35" i="4"/>
  <c r="AN35" i="4"/>
  <c r="E12" i="7"/>
  <c r="E8" i="11"/>
  <c r="E12" i="11" s="1"/>
  <c r="X36" i="4"/>
  <c r="AB36" i="4"/>
  <c r="Z36" i="4"/>
  <c r="AC36" i="4"/>
  <c r="U36" i="4"/>
  <c r="W36" i="4"/>
  <c r="E153" i="3"/>
  <c r="F153" i="3" s="1"/>
  <c r="G153" i="3" s="1"/>
  <c r="G4" i="7"/>
  <c r="G17" i="11" s="1"/>
  <c r="F29" i="4"/>
  <c r="T4" i="7"/>
  <c r="T17" i="11" s="1"/>
  <c r="CW35" i="4"/>
  <c r="KA35" i="4"/>
  <c r="IQ35" i="4"/>
  <c r="EK35" i="4"/>
  <c r="GK35" i="4"/>
  <c r="P4" i="7"/>
  <c r="P17" i="11" s="1"/>
  <c r="N4" i="7"/>
  <c r="N17" i="11" s="1"/>
  <c r="DY35" i="4"/>
  <c r="EC35" i="4"/>
  <c r="EG35" i="4"/>
  <c r="DZ35" i="4"/>
  <c r="ED35" i="4"/>
  <c r="DV35" i="4"/>
  <c r="DW35" i="4"/>
  <c r="EA35" i="4"/>
  <c r="EE35" i="4"/>
  <c r="EB35" i="4"/>
  <c r="EF35" i="4"/>
  <c r="DX35" i="4"/>
  <c r="V6" i="7"/>
  <c r="HN36" i="4"/>
  <c r="HR36" i="4"/>
  <c r="HV36" i="4"/>
  <c r="HO36" i="4"/>
  <c r="HS36" i="4"/>
  <c r="HW36" i="4"/>
  <c r="HP36" i="4"/>
  <c r="HT36" i="4"/>
  <c r="HX36" i="4"/>
  <c r="HY36" i="4"/>
  <c r="HQ36" i="4"/>
  <c r="HU36" i="4"/>
  <c r="S6" i="7"/>
  <c r="GE36" i="4"/>
  <c r="GI36" i="4"/>
  <c r="GG36" i="4"/>
  <c r="GK36" i="4"/>
  <c r="GO36" i="4"/>
  <c r="GD36" i="4"/>
  <c r="GL36" i="4"/>
  <c r="GF36" i="4"/>
  <c r="GM36" i="4"/>
  <c r="GH36" i="4"/>
  <c r="GN36" i="4"/>
  <c r="GJ36" i="4"/>
  <c r="X4" i="7"/>
  <c r="X17" i="11" s="1"/>
  <c r="IM35" i="4"/>
  <c r="IU35" i="4"/>
  <c r="IO35" i="4"/>
  <c r="IS35" i="4"/>
  <c r="IT35" i="4"/>
  <c r="IN35" i="4"/>
  <c r="IV35" i="4"/>
  <c r="IL35" i="4"/>
  <c r="IR35" i="4"/>
  <c r="G29" i="4"/>
  <c r="E4" i="7"/>
  <c r="E3" i="7" s="1"/>
  <c r="E11" i="7" s="1"/>
  <c r="U35" i="4"/>
  <c r="U39" i="4" s="1"/>
  <c r="Y35" i="4"/>
  <c r="AC35" i="4"/>
  <c r="S35" i="4"/>
  <c r="S39" i="4" s="1"/>
  <c r="W35" i="4"/>
  <c r="AA35" i="4"/>
  <c r="AA39" i="4" s="1"/>
  <c r="Z35" i="4"/>
  <c r="X35" i="4"/>
  <c r="T35" i="4"/>
  <c r="AB35" i="4"/>
  <c r="V35" i="4"/>
  <c r="R35" i="4"/>
  <c r="U6" i="7"/>
  <c r="HB36" i="4"/>
  <c r="HF36" i="4"/>
  <c r="HJ36" i="4"/>
  <c r="HC36" i="4"/>
  <c r="HG36" i="4"/>
  <c r="HK36" i="4"/>
  <c r="HD36" i="4"/>
  <c r="HH36" i="4"/>
  <c r="HL36" i="4"/>
  <c r="HI36" i="4"/>
  <c r="HM36" i="4"/>
  <c r="HE36" i="4"/>
  <c r="T29" i="4"/>
  <c r="R4" i="7"/>
  <c r="R17" i="11" s="1"/>
  <c r="FU35" i="4"/>
  <c r="FY35" i="4"/>
  <c r="GC35" i="4"/>
  <c r="FV35" i="4"/>
  <c r="GA35" i="4"/>
  <c r="FW35" i="4"/>
  <c r="GB35" i="4"/>
  <c r="FS35" i="4"/>
  <c r="FX35" i="4"/>
  <c r="FR35" i="4"/>
  <c r="FT35" i="4"/>
  <c r="FZ35" i="4"/>
  <c r="CA36" i="4"/>
  <c r="CE36" i="4"/>
  <c r="CI36" i="4"/>
  <c r="CC36" i="4"/>
  <c r="CG36" i="4"/>
  <c r="CK36" i="4"/>
  <c r="CD36" i="4"/>
  <c r="J6" i="7"/>
  <c r="CF36" i="4"/>
  <c r="BZ36" i="4"/>
  <c r="CH36" i="4"/>
  <c r="CB36" i="4"/>
  <c r="CJ36" i="4"/>
  <c r="JJ36" i="4"/>
  <c r="JN36" i="4"/>
  <c r="JR36" i="4"/>
  <c r="JK36" i="4"/>
  <c r="JO36" i="4"/>
  <c r="JS36" i="4"/>
  <c r="Z6" i="7"/>
  <c r="JL36" i="4"/>
  <c r="JP36" i="4"/>
  <c r="JT36" i="4"/>
  <c r="JU36" i="4"/>
  <c r="JM36" i="4"/>
  <c r="JQ36" i="4"/>
  <c r="Q29" i="4"/>
  <c r="O4" i="7"/>
  <c r="O17" i="11" s="1"/>
  <c r="ES35" i="4"/>
  <c r="EL35" i="4"/>
  <c r="EI35" i="4"/>
  <c r="EM35" i="4"/>
  <c r="EN35" i="4"/>
  <c r="ER35" i="4"/>
  <c r="G6" i="7"/>
  <c r="AQ36" i="4"/>
  <c r="AU36" i="4"/>
  <c r="AY36" i="4"/>
  <c r="AS36" i="4"/>
  <c r="AW36" i="4"/>
  <c r="BA36" i="4"/>
  <c r="AP36" i="4"/>
  <c r="AX36" i="4"/>
  <c r="AR36" i="4"/>
  <c r="AZ36" i="4"/>
  <c r="AT36" i="4"/>
  <c r="AV36" i="4"/>
  <c r="W6" i="7"/>
  <c r="HZ36" i="4"/>
  <c r="ID36" i="4"/>
  <c r="IH36" i="4"/>
  <c r="IA36" i="4"/>
  <c r="IE36" i="4"/>
  <c r="II36" i="4"/>
  <c r="IB36" i="4"/>
  <c r="IF36" i="4"/>
  <c r="IJ36" i="4"/>
  <c r="IC36" i="4"/>
  <c r="IG36" i="4"/>
  <c r="IK36" i="4"/>
  <c r="DG35" i="4"/>
  <c r="AB4" i="7"/>
  <c r="AB17" i="11" s="1"/>
  <c r="KI35" i="4"/>
  <c r="KM35" i="4"/>
  <c r="KQ35" i="4"/>
  <c r="KK35" i="4"/>
  <c r="KO35" i="4"/>
  <c r="KS35" i="4"/>
  <c r="KP35" i="4"/>
  <c r="KJ35" i="4"/>
  <c r="KR35" i="4"/>
  <c r="KL35" i="4"/>
  <c r="KH35" i="4"/>
  <c r="KN35" i="4"/>
  <c r="AD29" i="4"/>
  <c r="T6" i="7"/>
  <c r="GS36" i="4"/>
  <c r="GW36" i="4"/>
  <c r="HA36" i="4"/>
  <c r="GQ36" i="4"/>
  <c r="GV36" i="4"/>
  <c r="GR36" i="4"/>
  <c r="GX36" i="4"/>
  <c r="GT36" i="4"/>
  <c r="GY36" i="4"/>
  <c r="GP36" i="4"/>
  <c r="GU36" i="4"/>
  <c r="GZ36" i="4"/>
  <c r="I4" i="7"/>
  <c r="I17" i="11" s="1"/>
  <c r="BQ35" i="4"/>
  <c r="BU35" i="4"/>
  <c r="BY35" i="4"/>
  <c r="BO35" i="4"/>
  <c r="BS35" i="4"/>
  <c r="BW35" i="4"/>
  <c r="BV35" i="4"/>
  <c r="BP35" i="4"/>
  <c r="BX35" i="4"/>
  <c r="BT35" i="4"/>
  <c r="BR35" i="4"/>
  <c r="BN35" i="4"/>
  <c r="Y4" i="7"/>
  <c r="Y17" i="11" s="1"/>
  <c r="IY35" i="4"/>
  <c r="JC35" i="4"/>
  <c r="JG35" i="4"/>
  <c r="JA35" i="4"/>
  <c r="JE35" i="4"/>
  <c r="JI35" i="4"/>
  <c r="JB35" i="4"/>
  <c r="IX35" i="4"/>
  <c r="JD35" i="4"/>
  <c r="JF35" i="4"/>
  <c r="IZ35" i="4"/>
  <c r="JH35" i="4"/>
  <c r="CO35" i="4"/>
  <c r="CS35" i="4"/>
  <c r="CQ35" i="4"/>
  <c r="CU35" i="4"/>
  <c r="CV35" i="4"/>
  <c r="CP35" i="4"/>
  <c r="U4" i="7"/>
  <c r="U17" i="11" s="1"/>
  <c r="HE35" i="4"/>
  <c r="HI35" i="4"/>
  <c r="HM35" i="4"/>
  <c r="HD35" i="4"/>
  <c r="HJ35" i="4"/>
  <c r="HF35" i="4"/>
  <c r="HK35" i="4"/>
  <c r="HG35" i="4"/>
  <c r="HL35" i="4"/>
  <c r="HB35" i="4"/>
  <c r="HC35" i="4"/>
  <c r="HH35" i="4"/>
  <c r="N6" i="7"/>
  <c r="DW36" i="4"/>
  <c r="EA36" i="4"/>
  <c r="EE36" i="4"/>
  <c r="DY36" i="4"/>
  <c r="EC36" i="4"/>
  <c r="EG36" i="4"/>
  <c r="DZ36" i="4"/>
  <c r="EB36" i="4"/>
  <c r="DV36" i="4"/>
  <c r="ED36" i="4"/>
  <c r="EF36" i="4"/>
  <c r="DX36" i="4"/>
  <c r="K6" i="7"/>
  <c r="CM36" i="4"/>
  <c r="CQ36" i="4"/>
  <c r="CU36" i="4"/>
  <c r="CO36" i="4"/>
  <c r="CS36" i="4"/>
  <c r="CW36" i="4"/>
  <c r="CL36" i="4"/>
  <c r="CT36" i="4"/>
  <c r="CN36" i="4"/>
  <c r="CV36" i="4"/>
  <c r="CP36" i="4"/>
  <c r="CR36" i="4"/>
  <c r="X6" i="7"/>
  <c r="IL36" i="4"/>
  <c r="IP36" i="4"/>
  <c r="IT36" i="4"/>
  <c r="IM36" i="4"/>
  <c r="IQ36" i="4"/>
  <c r="IU36" i="4"/>
  <c r="IN36" i="4"/>
  <c r="IR36" i="4"/>
  <c r="IV36" i="4"/>
  <c r="IO36" i="4"/>
  <c r="IS36" i="4"/>
  <c r="IW36" i="4"/>
  <c r="Q6" i="7"/>
  <c r="FG36" i="4"/>
  <c r="FK36" i="4"/>
  <c r="FO36" i="4"/>
  <c r="FI36" i="4"/>
  <c r="FM36" i="4"/>
  <c r="FQ36" i="4"/>
  <c r="FF36" i="4"/>
  <c r="FN36" i="4"/>
  <c r="FH36" i="4"/>
  <c r="FP36" i="4"/>
  <c r="FJ36" i="4"/>
  <c r="FL36" i="4"/>
  <c r="H29" i="4"/>
  <c r="AE36" i="4"/>
  <c r="AE39" i="4" s="1"/>
  <c r="AI36" i="4"/>
  <c r="AM36" i="4"/>
  <c r="AM39" i="4" s="1"/>
  <c r="F6" i="7"/>
  <c r="AG36" i="4"/>
  <c r="AG39" i="4" s="1"/>
  <c r="AK36" i="4"/>
  <c r="AO36" i="4"/>
  <c r="AO39" i="4" s="1"/>
  <c r="AH36" i="4"/>
  <c r="AH39" i="4" s="1"/>
  <c r="AJ36" i="4"/>
  <c r="AJ39" i="4" s="1"/>
  <c r="AD36" i="4"/>
  <c r="AD39" i="4" s="1"/>
  <c r="AL36" i="4"/>
  <c r="AL39" i="4" s="1"/>
  <c r="AN36" i="4"/>
  <c r="AF36" i="4"/>
  <c r="H4" i="7"/>
  <c r="H17" i="11" s="1"/>
  <c r="BE35" i="4"/>
  <c r="BI35" i="4"/>
  <c r="BM35" i="4"/>
  <c r="BC35" i="4"/>
  <c r="BG35" i="4"/>
  <c r="BK35" i="4"/>
  <c r="BF35" i="4"/>
  <c r="BB35" i="4"/>
  <c r="BH35" i="4"/>
  <c r="BJ35" i="4"/>
  <c r="BD35" i="4"/>
  <c r="BL35" i="4"/>
  <c r="P6" i="7"/>
  <c r="EU36" i="4"/>
  <c r="EY36" i="4"/>
  <c r="FC36" i="4"/>
  <c r="EW36" i="4"/>
  <c r="FA36" i="4"/>
  <c r="FE36" i="4"/>
  <c r="EX36" i="4"/>
  <c r="EZ36" i="4"/>
  <c r="ET36" i="4"/>
  <c r="FB36" i="4"/>
  <c r="EV36" i="4"/>
  <c r="FD36" i="4"/>
  <c r="I6" i="7"/>
  <c r="BO36" i="4"/>
  <c r="BS36" i="4"/>
  <c r="BW36" i="4"/>
  <c r="BQ36" i="4"/>
  <c r="BU36" i="4"/>
  <c r="BY36" i="4"/>
  <c r="BN36" i="4"/>
  <c r="BV36" i="4"/>
  <c r="BP36" i="4"/>
  <c r="BX36" i="4"/>
  <c r="BR36" i="4"/>
  <c r="BT36" i="4"/>
  <c r="Y6" i="7"/>
  <c r="IX36" i="4"/>
  <c r="JB36" i="4"/>
  <c r="JF36" i="4"/>
  <c r="IY36" i="4"/>
  <c r="JC36" i="4"/>
  <c r="JG36" i="4"/>
  <c r="IZ36" i="4"/>
  <c r="JD36" i="4"/>
  <c r="JH36" i="4"/>
  <c r="JE36" i="4"/>
  <c r="JI36" i="4"/>
  <c r="JA36" i="4"/>
  <c r="X29" i="4"/>
  <c r="V4" i="7"/>
  <c r="V17" i="11" s="1"/>
  <c r="HO35" i="4"/>
  <c r="HS35" i="4"/>
  <c r="HW35" i="4"/>
  <c r="HQ35" i="4"/>
  <c r="HU35" i="4"/>
  <c r="HY35" i="4"/>
  <c r="HV35" i="4"/>
  <c r="HP35" i="4"/>
  <c r="HX35" i="4"/>
  <c r="HR35" i="4"/>
  <c r="HN35" i="4"/>
  <c r="HT35" i="4"/>
  <c r="D6" i="7"/>
  <c r="J36" i="4"/>
  <c r="N36" i="4"/>
  <c r="H36" i="4"/>
  <c r="L36" i="4"/>
  <c r="P36" i="4"/>
  <c r="G36" i="4"/>
  <c r="O36" i="4"/>
  <c r="I36" i="4"/>
  <c r="Q36" i="4"/>
  <c r="K36" i="4"/>
  <c r="M36" i="4"/>
  <c r="F36" i="4"/>
  <c r="GN35" i="4"/>
  <c r="GD35" i="4"/>
  <c r="AA6" i="7"/>
  <c r="JV36" i="4"/>
  <c r="JZ36" i="4"/>
  <c r="KD36" i="4"/>
  <c r="JW36" i="4"/>
  <c r="KA36" i="4"/>
  <c r="KE36" i="4"/>
  <c r="JX36" i="4"/>
  <c r="KB36" i="4"/>
  <c r="KF36" i="4"/>
  <c r="JY36" i="4"/>
  <c r="KC36" i="4"/>
  <c r="KG36" i="4"/>
  <c r="FA35" i="4"/>
  <c r="EU35" i="4"/>
  <c r="EV35" i="4"/>
  <c r="EV39" i="4" s="1"/>
  <c r="FB35" i="4"/>
  <c r="FC35" i="4"/>
  <c r="R29" i="4"/>
  <c r="H6" i="7"/>
  <c r="BC36" i="4"/>
  <c r="BG36" i="4"/>
  <c r="BK36" i="4"/>
  <c r="BE36" i="4"/>
  <c r="BI36" i="4"/>
  <c r="BM36" i="4"/>
  <c r="BF36" i="4"/>
  <c r="BH36" i="4"/>
  <c r="BB36" i="4"/>
  <c r="BJ36" i="4"/>
  <c r="BD36" i="4"/>
  <c r="BL36" i="4"/>
  <c r="M4" i="7"/>
  <c r="M17" i="11" s="1"/>
  <c r="DM35" i="4"/>
  <c r="DQ35" i="4"/>
  <c r="DU35" i="4"/>
  <c r="DN35" i="4"/>
  <c r="DR35" i="4"/>
  <c r="DJ35" i="4"/>
  <c r="DK35" i="4"/>
  <c r="DO35" i="4"/>
  <c r="DS35" i="4"/>
  <c r="DT35" i="4"/>
  <c r="DL35" i="4"/>
  <c r="DP35" i="4"/>
  <c r="M6" i="7"/>
  <c r="DK36" i="4"/>
  <c r="DO36" i="4"/>
  <c r="DS36" i="4"/>
  <c r="DM36" i="4"/>
  <c r="DQ36" i="4"/>
  <c r="DU36" i="4"/>
  <c r="DJ36" i="4"/>
  <c r="DR36" i="4"/>
  <c r="DL36" i="4"/>
  <c r="DT36" i="4"/>
  <c r="DN36" i="4"/>
  <c r="DP36" i="4"/>
  <c r="J4" i="7"/>
  <c r="J17" i="11" s="1"/>
  <c r="CC35" i="4"/>
  <c r="CG35" i="4"/>
  <c r="CK35" i="4"/>
  <c r="CA35" i="4"/>
  <c r="CE35" i="4"/>
  <c r="CI35" i="4"/>
  <c r="CD35" i="4"/>
  <c r="BZ35" i="4"/>
  <c r="CF35" i="4"/>
  <c r="CH35" i="4"/>
  <c r="CB35" i="4"/>
  <c r="CJ35" i="4"/>
  <c r="Z4" i="7"/>
  <c r="Z17" i="11" s="1"/>
  <c r="JK35" i="4"/>
  <c r="JO35" i="4"/>
  <c r="JS35" i="4"/>
  <c r="JM35" i="4"/>
  <c r="JQ35" i="4"/>
  <c r="JU35" i="4"/>
  <c r="JR35" i="4"/>
  <c r="JL35" i="4"/>
  <c r="JT35" i="4"/>
  <c r="JN35" i="4"/>
  <c r="JJ35" i="4"/>
  <c r="JP35" i="4"/>
  <c r="FS36" i="4"/>
  <c r="FW36" i="4"/>
  <c r="GA36" i="4"/>
  <c r="R6" i="7"/>
  <c r="FU36" i="4"/>
  <c r="FY36" i="4"/>
  <c r="GC36" i="4"/>
  <c r="FV36" i="4"/>
  <c r="FX36" i="4"/>
  <c r="FR36" i="4"/>
  <c r="FZ36" i="4"/>
  <c r="FT36" i="4"/>
  <c r="GB36" i="4"/>
  <c r="AW35" i="4"/>
  <c r="BA35" i="4"/>
  <c r="AY35" i="4"/>
  <c r="AX35" i="4"/>
  <c r="AZ35" i="4"/>
  <c r="AT35" i="4"/>
  <c r="IA35" i="4"/>
  <c r="IE35" i="4"/>
  <c r="IG35" i="4"/>
  <c r="IF35" i="4"/>
  <c r="IH35" i="4"/>
  <c r="O6" i="7"/>
  <c r="EI36" i="4"/>
  <c r="EM36" i="4"/>
  <c r="EQ36" i="4"/>
  <c r="EK36" i="4"/>
  <c r="EO36" i="4"/>
  <c r="ES36" i="4"/>
  <c r="EH36" i="4"/>
  <c r="EP36" i="4"/>
  <c r="EJ36" i="4"/>
  <c r="ER36" i="4"/>
  <c r="EL36" i="4"/>
  <c r="EN36" i="4"/>
  <c r="D4" i="7"/>
  <c r="D17" i="11" s="1"/>
  <c r="G35" i="4"/>
  <c r="K35" i="4"/>
  <c r="O35" i="4"/>
  <c r="I35" i="4"/>
  <c r="M35" i="4"/>
  <c r="Q35" i="4"/>
  <c r="L35" i="4"/>
  <c r="F35" i="4"/>
  <c r="J35" i="4"/>
  <c r="N35" i="4"/>
  <c r="H35" i="4"/>
  <c r="P35" i="4"/>
  <c r="GP35" i="4"/>
  <c r="GT35" i="4"/>
  <c r="L6" i="7"/>
  <c r="CY36" i="4"/>
  <c r="DC36" i="4"/>
  <c r="DG36" i="4"/>
  <c r="DA36" i="4"/>
  <c r="DE36" i="4"/>
  <c r="DI36" i="4"/>
  <c r="DB36" i="4"/>
  <c r="DD36" i="4"/>
  <c r="CX36" i="4"/>
  <c r="DF36" i="4"/>
  <c r="CZ36" i="4"/>
  <c r="DH36" i="4"/>
  <c r="AB6" i="7"/>
  <c r="KH36" i="4"/>
  <c r="KL36" i="4"/>
  <c r="KP36" i="4"/>
  <c r="KI36" i="4"/>
  <c r="KM36" i="4"/>
  <c r="KQ36" i="4"/>
  <c r="KJ36" i="4"/>
  <c r="KN36" i="4"/>
  <c r="KR36" i="4"/>
  <c r="KK36" i="4"/>
  <c r="KO36" i="4"/>
  <c r="KS36" i="4"/>
  <c r="Q4" i="7"/>
  <c r="Q17" i="11" s="1"/>
  <c r="FI35" i="4"/>
  <c r="FM35" i="4"/>
  <c r="FQ35" i="4"/>
  <c r="FH35" i="4"/>
  <c r="FN35" i="4"/>
  <c r="S29" i="4"/>
  <c r="FJ35" i="4"/>
  <c r="FO35" i="4"/>
  <c r="FK35" i="4"/>
  <c r="FP35" i="4"/>
  <c r="FL35" i="4"/>
  <c r="FF35" i="4"/>
  <c r="FG35" i="4"/>
  <c r="L29" i="4"/>
  <c r="AB29" i="4"/>
  <c r="V29" i="4"/>
  <c r="P29" i="4"/>
  <c r="J29" i="4"/>
  <c r="Z29" i="4"/>
  <c r="W29" i="4"/>
  <c r="K29" i="4"/>
  <c r="AA29" i="4"/>
  <c r="O29" i="4"/>
  <c r="H153" i="3"/>
  <c r="I153" i="3" s="1"/>
  <c r="J153" i="3" s="1"/>
  <c r="K153" i="3" s="1"/>
  <c r="L153" i="3" s="1"/>
  <c r="M153" i="3" s="1"/>
  <c r="N153" i="3" s="1"/>
  <c r="O153" i="3" s="1"/>
  <c r="P153" i="3" s="1"/>
  <c r="Q153" i="3" s="1"/>
  <c r="R153" i="3" s="1"/>
  <c r="S153" i="3" s="1"/>
  <c r="T153" i="3" s="1"/>
  <c r="U153" i="3" s="1"/>
  <c r="V153" i="3" s="1"/>
  <c r="W153" i="3" s="1"/>
  <c r="X153" i="3" s="1"/>
  <c r="Y153" i="3" s="1"/>
  <c r="Z153" i="3" s="1"/>
  <c r="AA153" i="3" s="1"/>
  <c r="AB153" i="3" s="1"/>
  <c r="AC153" i="3" s="1"/>
  <c r="R39" i="4" l="1"/>
  <c r="AF39" i="4"/>
  <c r="Y39" i="4"/>
  <c r="V39" i="4"/>
  <c r="AB39" i="4"/>
  <c r="T39" i="4"/>
  <c r="Z39" i="4"/>
  <c r="AI39" i="4"/>
  <c r="AN39" i="4"/>
  <c r="AK39" i="4"/>
  <c r="HG39" i="4"/>
  <c r="HP39" i="4"/>
  <c r="L8" i="11"/>
  <c r="L12" i="11" s="1"/>
  <c r="L12" i="7"/>
  <c r="AA8" i="11"/>
  <c r="AA12" i="11" s="1"/>
  <c r="AA12" i="7"/>
  <c r="Y8" i="11"/>
  <c r="Y12" i="11" s="1"/>
  <c r="Y12" i="7"/>
  <c r="P8" i="11"/>
  <c r="P12" i="11" s="1"/>
  <c r="P12" i="7"/>
  <c r="Q8" i="11"/>
  <c r="Q12" i="11" s="1"/>
  <c r="Q12" i="7"/>
  <c r="K8" i="11"/>
  <c r="K12" i="11" s="1"/>
  <c r="K12" i="7"/>
  <c r="G8" i="11"/>
  <c r="G12" i="11" s="1"/>
  <c r="G12" i="7"/>
  <c r="S8" i="11"/>
  <c r="S12" i="11" s="1"/>
  <c r="S12" i="7"/>
  <c r="FQ39" i="4"/>
  <c r="AB8" i="11"/>
  <c r="AB12" i="11" s="1"/>
  <c r="AB12" i="7"/>
  <c r="R8" i="11"/>
  <c r="R12" i="11" s="1"/>
  <c r="R12" i="7"/>
  <c r="M8" i="11"/>
  <c r="M12" i="11" s="1"/>
  <c r="M12" i="7"/>
  <c r="H8" i="11"/>
  <c r="H12" i="11" s="1"/>
  <c r="H12" i="7"/>
  <c r="I8" i="11"/>
  <c r="I12" i="11" s="1"/>
  <c r="I12" i="7"/>
  <c r="F8" i="11"/>
  <c r="F12" i="11" s="1"/>
  <c r="F12" i="7"/>
  <c r="X8" i="11"/>
  <c r="X12" i="11" s="1"/>
  <c r="X12" i="7"/>
  <c r="N8" i="11"/>
  <c r="N12" i="11" s="1"/>
  <c r="N12" i="7"/>
  <c r="T8" i="11"/>
  <c r="T12" i="11" s="1"/>
  <c r="T12" i="7"/>
  <c r="W8" i="11"/>
  <c r="W12" i="11" s="1"/>
  <c r="W12" i="7"/>
  <c r="Z8" i="11"/>
  <c r="Z12" i="11" s="1"/>
  <c r="Z12" i="7"/>
  <c r="J8" i="11"/>
  <c r="J12" i="11" s="1"/>
  <c r="J12" i="7"/>
  <c r="U8" i="11"/>
  <c r="U12" i="11" s="1"/>
  <c r="U12" i="7"/>
  <c r="W39" i="4"/>
  <c r="AC39" i="4"/>
  <c r="V8" i="11"/>
  <c r="V12" i="11" s="1"/>
  <c r="V12" i="7"/>
  <c r="O8" i="11"/>
  <c r="O12" i="11" s="1"/>
  <c r="O12" i="7"/>
  <c r="D12" i="7"/>
  <c r="D3" i="7"/>
  <c r="D8" i="11"/>
  <c r="D12" i="11" s="1"/>
  <c r="X39" i="4"/>
  <c r="D22" i="11"/>
  <c r="D21" i="11"/>
  <c r="E14" i="11"/>
  <c r="E13" i="11"/>
  <c r="Q20" i="11"/>
  <c r="J20" i="11"/>
  <c r="D20" i="11"/>
  <c r="U20" i="11"/>
  <c r="N20" i="11"/>
  <c r="Z20" i="11"/>
  <c r="H20" i="11"/>
  <c r="Y20" i="11"/>
  <c r="AB20" i="11"/>
  <c r="X20" i="11"/>
  <c r="P20" i="11"/>
  <c r="G20" i="11"/>
  <c r="M20" i="11"/>
  <c r="I20" i="11"/>
  <c r="T20" i="11"/>
  <c r="V20" i="11"/>
  <c r="O20" i="11"/>
  <c r="R20" i="11"/>
  <c r="E17" i="11"/>
  <c r="N3" i="7"/>
  <c r="N11" i="7" s="1"/>
  <c r="Y3" i="7"/>
  <c r="Y11" i="7" s="1"/>
  <c r="AB3" i="7"/>
  <c r="AB11" i="7" s="1"/>
  <c r="X3" i="7"/>
  <c r="X11" i="7" s="1"/>
  <c r="P3" i="7"/>
  <c r="P11" i="7" s="1"/>
  <c r="G3" i="7"/>
  <c r="G11" i="7" s="1"/>
  <c r="Q3" i="7"/>
  <c r="Q11" i="7" s="1"/>
  <c r="J3" i="7"/>
  <c r="J11" i="7" s="1"/>
  <c r="V3" i="7"/>
  <c r="V11" i="7" s="1"/>
  <c r="O3" i="7"/>
  <c r="O11" i="7" s="1"/>
  <c r="M3" i="7"/>
  <c r="M11" i="7" s="1"/>
  <c r="U3" i="7"/>
  <c r="U11" i="7" s="1"/>
  <c r="I3" i="7"/>
  <c r="I11" i="7" s="1"/>
  <c r="F3" i="7"/>
  <c r="F11" i="7" s="1"/>
  <c r="R3" i="7"/>
  <c r="R11" i="7" s="1"/>
  <c r="Z3" i="7"/>
  <c r="Z11" i="7" s="1"/>
  <c r="H3" i="7"/>
  <c r="H11" i="7" s="1"/>
  <c r="T3" i="7"/>
  <c r="T11" i="7" s="1"/>
  <c r="P39" i="4"/>
  <c r="FL39" i="4"/>
  <c r="FH39" i="4"/>
  <c r="AT39" i="4"/>
  <c r="JQ39" i="4"/>
  <c r="AY39" i="4"/>
  <c r="FB39" i="4"/>
  <c r="HO39" i="4"/>
  <c r="FO39" i="4"/>
  <c r="FC39" i="4"/>
  <c r="HU39" i="4"/>
  <c r="Q39" i="4"/>
  <c r="FF39" i="4"/>
  <c r="GR35" i="4"/>
  <c r="GR39" i="4" s="1"/>
  <c r="GJ35" i="4"/>
  <c r="GJ39" i="4" s="1"/>
  <c r="GV35" i="4"/>
  <c r="GV39" i="4" s="1"/>
  <c r="GI35" i="4"/>
  <c r="GI39" i="4" s="1"/>
  <c r="FK39" i="4"/>
  <c r="HA35" i="4"/>
  <c r="HA39" i="4" s="1"/>
  <c r="GO35" i="4"/>
  <c r="GO39" i="4" s="1"/>
  <c r="GW35" i="4"/>
  <c r="GW39" i="4" s="1"/>
  <c r="GH35" i="4"/>
  <c r="GG35" i="4"/>
  <c r="GG39" i="4" s="1"/>
  <c r="HQ39" i="4"/>
  <c r="GU35" i="4"/>
  <c r="GU39" i="4" s="1"/>
  <c r="GS35" i="4"/>
  <c r="GS39" i="4" s="1"/>
  <c r="GM35" i="4"/>
  <c r="GM39" i="4" s="1"/>
  <c r="S4" i="7"/>
  <c r="HN39" i="4"/>
  <c r="GY35" i="4"/>
  <c r="GY39" i="4" s="1"/>
  <c r="AZ39" i="4"/>
  <c r="GF35" i="4"/>
  <c r="GF39" i="4" s="1"/>
  <c r="U29" i="4"/>
  <c r="DA35" i="4"/>
  <c r="DA39" i="4" s="1"/>
  <c r="DF35" i="4"/>
  <c r="DF39" i="4" s="1"/>
  <c r="CX35" i="4"/>
  <c r="CX39" i="4" s="1"/>
  <c r="DE35" i="4"/>
  <c r="DE39" i="4" s="1"/>
  <c r="CY35" i="4"/>
  <c r="CY39" i="4" s="1"/>
  <c r="CZ35" i="4"/>
  <c r="CZ39" i="4" s="1"/>
  <c r="N29" i="4"/>
  <c r="DI35" i="4"/>
  <c r="DI39" i="4" s="1"/>
  <c r="DC35" i="4"/>
  <c r="DC39" i="4" s="1"/>
  <c r="DD35" i="4"/>
  <c r="DD39" i="4" s="1"/>
  <c r="KE35" i="4"/>
  <c r="KE39" i="4" s="1"/>
  <c r="JZ35" i="4"/>
  <c r="JZ39" i="4" s="1"/>
  <c r="JX35" i="4"/>
  <c r="JX39" i="4" s="1"/>
  <c r="AA4" i="7"/>
  <c r="JY35" i="4"/>
  <c r="JY39" i="4" s="1"/>
  <c r="JV35" i="4"/>
  <c r="JV39" i="4" s="1"/>
  <c r="KF35" i="4"/>
  <c r="KF39" i="4" s="1"/>
  <c r="AC29" i="4"/>
  <c r="JW35" i="4"/>
  <c r="JW39" i="4" s="1"/>
  <c r="KC35" i="4"/>
  <c r="KC39" i="4" s="1"/>
  <c r="KB35" i="4"/>
  <c r="KB39" i="4" s="1"/>
  <c r="II35" i="4"/>
  <c r="ID35" i="4"/>
  <c r="ID39" i="4" s="1"/>
  <c r="IJ35" i="4"/>
  <c r="IJ39" i="4" s="1"/>
  <c r="W4" i="7"/>
  <c r="IC35" i="4"/>
  <c r="IC39" i="4" s="1"/>
  <c r="HZ35" i="4"/>
  <c r="IB35" i="4"/>
  <c r="IB39" i="4" s="1"/>
  <c r="Y29" i="4"/>
  <c r="IK35" i="4"/>
  <c r="IK39" i="4" s="1"/>
  <c r="DB35" i="4"/>
  <c r="DB39" i="4" s="1"/>
  <c r="KD35" i="4"/>
  <c r="KD39" i="4" s="1"/>
  <c r="L4" i="7"/>
  <c r="KG35" i="4"/>
  <c r="KG39" i="4" s="1"/>
  <c r="DH35" i="4"/>
  <c r="DH39" i="4" s="1"/>
  <c r="CC39" i="4"/>
  <c r="GH39" i="4"/>
  <c r="GD39" i="4"/>
  <c r="HV39" i="4"/>
  <c r="AR35" i="4"/>
  <c r="AR39" i="4" s="1"/>
  <c r="AU35" i="4"/>
  <c r="AU39" i="4" s="1"/>
  <c r="AS35" i="4"/>
  <c r="AS39" i="4" s="1"/>
  <c r="JR39" i="4"/>
  <c r="FD35" i="4"/>
  <c r="FD39" i="4" s="1"/>
  <c r="EX35" i="4"/>
  <c r="EX39" i="4" s="1"/>
  <c r="FE35" i="4"/>
  <c r="FE39" i="4" s="1"/>
  <c r="EW35" i="4"/>
  <c r="EW39" i="4" s="1"/>
  <c r="HK39" i="4"/>
  <c r="CR35" i="4"/>
  <c r="CR39" i="4" s="1"/>
  <c r="CN35" i="4"/>
  <c r="CN39" i="4" s="1"/>
  <c r="CM35" i="4"/>
  <c r="CM39" i="4" s="1"/>
  <c r="K4" i="7"/>
  <c r="EJ35" i="4"/>
  <c r="EJ39" i="4" s="1"/>
  <c r="EH35" i="4"/>
  <c r="EH39" i="4" s="1"/>
  <c r="EO35" i="4"/>
  <c r="EO39" i="4" s="1"/>
  <c r="M29" i="4"/>
  <c r="I29" i="4"/>
  <c r="GZ35" i="4"/>
  <c r="GZ39" i="4" s="1"/>
  <c r="GX35" i="4"/>
  <c r="GX39" i="4" s="1"/>
  <c r="GQ35" i="4"/>
  <c r="GQ39" i="4" s="1"/>
  <c r="AP35" i="4"/>
  <c r="AP39" i="4" s="1"/>
  <c r="AV35" i="4"/>
  <c r="AV39" i="4" s="1"/>
  <c r="AQ35" i="4"/>
  <c r="AQ39" i="4" s="1"/>
  <c r="JN39" i="4"/>
  <c r="JU39" i="4"/>
  <c r="CB39" i="4"/>
  <c r="CD39" i="4"/>
  <c r="EY35" i="4"/>
  <c r="EY39" i="4" s="1"/>
  <c r="ET35" i="4"/>
  <c r="ET39" i="4" s="1"/>
  <c r="EZ35" i="4"/>
  <c r="EZ39" i="4" s="1"/>
  <c r="GL35" i="4"/>
  <c r="GL39" i="4" s="1"/>
  <c r="GE35" i="4"/>
  <c r="GE39" i="4" s="1"/>
  <c r="HF39" i="4"/>
  <c r="HI39" i="4"/>
  <c r="CL35" i="4"/>
  <c r="CL39" i="4" s="1"/>
  <c r="CT35" i="4"/>
  <c r="CT39" i="4" s="1"/>
  <c r="EQ35" i="4"/>
  <c r="EQ39" i="4" s="1"/>
  <c r="EP35" i="4"/>
  <c r="EP39" i="4" s="1"/>
  <c r="IP35" i="4"/>
  <c r="IP39" i="4" s="1"/>
  <c r="IW35" i="4"/>
  <c r="IW39" i="4" s="1"/>
  <c r="FJ39" i="4"/>
  <c r="II39" i="4"/>
  <c r="FP39" i="4"/>
  <c r="IH39" i="4"/>
  <c r="AX39" i="4"/>
  <c r="JK39" i="4"/>
  <c r="CG39" i="4"/>
  <c r="GN39" i="4"/>
  <c r="HT39" i="4"/>
  <c r="GT39" i="4"/>
  <c r="HZ39" i="4"/>
  <c r="JS39" i="4"/>
  <c r="HB39" i="4"/>
  <c r="JA39" i="4"/>
  <c r="IE39" i="4"/>
  <c r="BA39" i="4"/>
  <c r="JT39" i="4"/>
  <c r="CH39" i="4"/>
  <c r="CI39" i="4"/>
  <c r="DP39" i="4"/>
  <c r="DO39" i="4"/>
  <c r="EU39" i="4"/>
  <c r="BH39" i="4"/>
  <c r="BE39" i="4"/>
  <c r="HL39" i="4"/>
  <c r="IO39" i="4"/>
  <c r="EF39" i="4"/>
  <c r="BG39" i="4"/>
  <c r="KA39" i="4"/>
  <c r="BQ39" i="4"/>
  <c r="KK39" i="4"/>
  <c r="FA39" i="4"/>
  <c r="F39" i="4"/>
  <c r="I39" i="4"/>
  <c r="L39" i="4"/>
  <c r="DW39" i="4"/>
  <c r="IF39" i="4"/>
  <c r="AW39" i="4"/>
  <c r="JP39" i="4"/>
  <c r="CE39" i="4"/>
  <c r="HE39" i="4"/>
  <c r="JH39" i="4"/>
  <c r="BX39" i="4"/>
  <c r="N39" i="4"/>
  <c r="K39" i="4"/>
  <c r="JJ39" i="4"/>
  <c r="CJ39" i="4"/>
  <c r="BZ39" i="4"/>
  <c r="CA39" i="4"/>
  <c r="DT39" i="4"/>
  <c r="HR39" i="4"/>
  <c r="HY39" i="4"/>
  <c r="HS39" i="4"/>
  <c r="BM39" i="4"/>
  <c r="HH39" i="4"/>
  <c r="IN39" i="4"/>
  <c r="IA39" i="4"/>
  <c r="IX39" i="4"/>
  <c r="BS39" i="4"/>
  <c r="KN39" i="4"/>
  <c r="EK39" i="4"/>
  <c r="FN39" i="4"/>
  <c r="FI39" i="4"/>
  <c r="G39" i="4"/>
  <c r="JO39" i="4"/>
  <c r="CK39" i="4"/>
  <c r="GK39" i="4"/>
  <c r="HX39" i="4"/>
  <c r="HC39" i="4"/>
  <c r="HM39" i="4"/>
  <c r="JF39" i="4"/>
  <c r="JI39" i="4"/>
  <c r="JC39" i="4"/>
  <c r="BV39" i="4"/>
  <c r="BY39" i="4"/>
  <c r="DN39" i="4"/>
  <c r="KJ39" i="4"/>
  <c r="FX39" i="4"/>
  <c r="GA39" i="4"/>
  <c r="FU39" i="4"/>
  <c r="IR39" i="4"/>
  <c r="EG39" i="4"/>
  <c r="GP39" i="4"/>
  <c r="H39" i="4"/>
  <c r="O39" i="4"/>
  <c r="IG39" i="4"/>
  <c r="JL39" i="4"/>
  <c r="JM39" i="4"/>
  <c r="CF39" i="4"/>
  <c r="DL39" i="4"/>
  <c r="DK39" i="4"/>
  <c r="DU39" i="4"/>
  <c r="HW39" i="4"/>
  <c r="BL39" i="4"/>
  <c r="BB39" i="4"/>
  <c r="BC39" i="4"/>
  <c r="CW39" i="4"/>
  <c r="IZ39" i="4"/>
  <c r="JB39" i="4"/>
  <c r="JG39" i="4"/>
  <c r="BN39" i="4"/>
  <c r="BP39" i="4"/>
  <c r="BO39" i="4"/>
  <c r="KH39" i="4"/>
  <c r="KP39" i="4"/>
  <c r="KQ39" i="4"/>
  <c r="DG39" i="4"/>
  <c r="ER39" i="4"/>
  <c r="EM39" i="4"/>
  <c r="EL39" i="4"/>
  <c r="FZ39" i="4"/>
  <c r="FS39" i="4"/>
  <c r="FV39" i="4"/>
  <c r="IL39" i="4"/>
  <c r="IT39" i="4"/>
  <c r="IU39" i="4"/>
  <c r="EB39" i="4"/>
  <c r="DV39" i="4"/>
  <c r="EC39" i="4"/>
  <c r="DJ39" i="4"/>
  <c r="BD39" i="4"/>
  <c r="BF39" i="4"/>
  <c r="HJ39" i="4"/>
  <c r="CP39" i="4"/>
  <c r="CU39" i="4"/>
  <c r="CS39" i="4"/>
  <c r="BR39" i="4"/>
  <c r="KL39" i="4"/>
  <c r="KS39" i="4"/>
  <c r="KM39" i="4"/>
  <c r="EN39" i="4"/>
  <c r="EI39" i="4"/>
  <c r="ES39" i="4"/>
  <c r="FT39" i="4"/>
  <c r="GB39" i="4"/>
  <c r="GC39" i="4"/>
  <c r="IQ39" i="4"/>
  <c r="EE39" i="4"/>
  <c r="ED39" i="4"/>
  <c r="DY39" i="4"/>
  <c r="FM39" i="4"/>
  <c r="DQ39" i="4"/>
  <c r="FG39" i="4"/>
  <c r="J39" i="4"/>
  <c r="M39" i="4"/>
  <c r="DS39" i="4"/>
  <c r="DR39" i="4"/>
  <c r="DM39" i="4"/>
  <c r="BJ39" i="4"/>
  <c r="BK39" i="4"/>
  <c r="BI39" i="4"/>
  <c r="HD39" i="4"/>
  <c r="CV39" i="4"/>
  <c r="CQ39" i="4"/>
  <c r="CO39" i="4"/>
  <c r="JD39" i="4"/>
  <c r="JE39" i="4"/>
  <c r="IY39" i="4"/>
  <c r="BT39" i="4"/>
  <c r="BW39" i="4"/>
  <c r="BU39" i="4"/>
  <c r="KR39" i="4"/>
  <c r="KO39" i="4"/>
  <c r="KI39" i="4"/>
  <c r="FR39" i="4"/>
  <c r="FW39" i="4"/>
  <c r="FY39" i="4"/>
  <c r="IV39" i="4"/>
  <c r="IS39" i="4"/>
  <c r="IM39" i="4"/>
  <c r="DX39" i="4"/>
  <c r="EA39" i="4"/>
  <c r="DZ39" i="4"/>
  <c r="D11" i="7" l="1"/>
  <c r="D14" i="11"/>
  <c r="E15" i="11"/>
  <c r="D13" i="11"/>
  <c r="E21" i="11"/>
  <c r="E22" i="11"/>
  <c r="F21" i="11"/>
  <c r="F13" i="11"/>
  <c r="F22" i="11"/>
  <c r="F14" i="11"/>
  <c r="E20" i="11"/>
  <c r="AA3" i="7"/>
  <c r="AA11" i="7" s="1"/>
  <c r="AA17" i="11"/>
  <c r="K3" i="7"/>
  <c r="K11" i="7" s="1"/>
  <c r="K17" i="11"/>
  <c r="S3" i="7"/>
  <c r="S11" i="7" s="1"/>
  <c r="S17" i="11"/>
  <c r="D23" i="11"/>
  <c r="L3" i="7"/>
  <c r="L11" i="7" s="1"/>
  <c r="L17" i="11"/>
  <c r="W3" i="7"/>
  <c r="W11" i="7" s="1"/>
  <c r="W17" i="11"/>
  <c r="F15" i="11" l="1"/>
  <c r="D15" i="11"/>
  <c r="D24" i="11" s="1"/>
  <c r="D10" i="7" s="1"/>
  <c r="F23" i="11"/>
  <c r="G22" i="11"/>
  <c r="G14" i="11"/>
  <c r="G21" i="11"/>
  <c r="G13" i="11"/>
  <c r="K20" i="11"/>
  <c r="W20" i="11"/>
  <c r="L20" i="11"/>
  <c r="S20" i="11"/>
  <c r="AA20" i="11"/>
  <c r="E23" i="11"/>
  <c r="E24" i="11" s="1"/>
  <c r="E10" i="7" s="1"/>
  <c r="D8" i="15" l="1"/>
  <c r="D23" i="15" s="1"/>
  <c r="D8" i="7"/>
  <c r="D13" i="7" s="1"/>
  <c r="E8" i="15"/>
  <c r="E11" i="15" s="1"/>
  <c r="E8" i="7"/>
  <c r="G23" i="11"/>
  <c r="G15" i="11"/>
  <c r="F24" i="11"/>
  <c r="F10" i="7" s="1"/>
  <c r="F8" i="15" s="1"/>
  <c r="F23" i="15" s="1"/>
  <c r="H21" i="11"/>
  <c r="H13" i="11"/>
  <c r="H22" i="11"/>
  <c r="H14" i="11"/>
  <c r="D11" i="15" l="1"/>
  <c r="E23" i="15"/>
  <c r="G24" i="11"/>
  <c r="G10" i="7" s="1"/>
  <c r="G8" i="15" s="1"/>
  <c r="G23" i="15" s="1"/>
  <c r="F11" i="15"/>
  <c r="I22" i="11"/>
  <c r="I14" i="11"/>
  <c r="I21" i="11"/>
  <c r="I13" i="11"/>
  <c r="H15" i="11"/>
  <c r="H23" i="11"/>
  <c r="G11" i="15" l="1"/>
  <c r="I23" i="11"/>
  <c r="H24" i="11"/>
  <c r="H10" i="7" s="1"/>
  <c r="H8" i="15" s="1"/>
  <c r="H11" i="15" s="1"/>
  <c r="I15" i="11"/>
  <c r="J21" i="11"/>
  <c r="J13" i="11"/>
  <c r="J22" i="11"/>
  <c r="J14" i="11"/>
  <c r="H23" i="15" l="1"/>
  <c r="I24" i="11"/>
  <c r="I10" i="7" s="1"/>
  <c r="I8" i="15" s="1"/>
  <c r="I11" i="15" s="1"/>
  <c r="J23" i="11"/>
  <c r="K22" i="11"/>
  <c r="K14" i="11"/>
  <c r="K21" i="11"/>
  <c r="K13" i="11"/>
  <c r="J15" i="11"/>
  <c r="I23" i="15" l="1"/>
  <c r="K15" i="11"/>
  <c r="K23" i="11"/>
  <c r="J24" i="11"/>
  <c r="J10" i="7" s="1"/>
  <c r="J8" i="15" s="1"/>
  <c r="J11" i="15" s="1"/>
  <c r="L21" i="11"/>
  <c r="L13" i="11"/>
  <c r="L22" i="11"/>
  <c r="L14" i="11"/>
  <c r="K24" i="11" l="1"/>
  <c r="K10" i="7" s="1"/>
  <c r="K8" i="15" s="1"/>
  <c r="K11" i="15" s="1"/>
  <c r="J23" i="15"/>
  <c r="M22" i="11"/>
  <c r="M14" i="11"/>
  <c r="M21" i="11"/>
  <c r="M13" i="11"/>
  <c r="L23" i="11"/>
  <c r="L15" i="11"/>
  <c r="K23" i="15" l="1"/>
  <c r="M23" i="11"/>
  <c r="M15" i="11"/>
  <c r="L24" i="11"/>
  <c r="L10" i="7" s="1"/>
  <c r="L8" i="15" s="1"/>
  <c r="N21" i="11"/>
  <c r="N22" i="11"/>
  <c r="N13" i="11"/>
  <c r="N14" i="11"/>
  <c r="M24" i="11" l="1"/>
  <c r="M10" i="7" s="1"/>
  <c r="M8" i="15" s="1"/>
  <c r="M11" i="15" s="1"/>
  <c r="N23" i="11"/>
  <c r="N15" i="11"/>
  <c r="O21" i="11"/>
  <c r="O13" i="11"/>
  <c r="O22" i="11"/>
  <c r="O14" i="11"/>
  <c r="L11" i="15"/>
  <c r="L23" i="15"/>
  <c r="M23" i="15" l="1"/>
  <c r="N24" i="11"/>
  <c r="N10" i="7" s="1"/>
  <c r="N8" i="15" s="1"/>
  <c r="N23" i="15" s="1"/>
  <c r="O15" i="11"/>
  <c r="P22" i="11"/>
  <c r="P14" i="11"/>
  <c r="P21" i="11"/>
  <c r="P13" i="11"/>
  <c r="O23" i="11"/>
  <c r="N11" i="15" l="1"/>
  <c r="P23" i="11"/>
  <c r="P15" i="11"/>
  <c r="Q21" i="11"/>
  <c r="Q13" i="11"/>
  <c r="Q22" i="11"/>
  <c r="Q14" i="11"/>
  <c r="O24" i="11"/>
  <c r="O10" i="7" s="1"/>
  <c r="O8" i="15" s="1"/>
  <c r="P24" i="11" l="1"/>
  <c r="P10" i="7" s="1"/>
  <c r="P8" i="15" s="1"/>
  <c r="P23" i="15" s="1"/>
  <c r="O11" i="15"/>
  <c r="O23" i="15"/>
  <c r="Q23" i="11"/>
  <c r="R22" i="11"/>
  <c r="R14" i="11"/>
  <c r="R21" i="11"/>
  <c r="R13" i="11"/>
  <c r="Q15" i="11"/>
  <c r="R15" i="11" l="1"/>
  <c r="R23" i="11"/>
  <c r="P11" i="15"/>
  <c r="Q24" i="11"/>
  <c r="Q10" i="7" s="1"/>
  <c r="Q8" i="15" s="1"/>
  <c r="Q23" i="15" s="1"/>
  <c r="S21" i="11"/>
  <c r="S13" i="11"/>
  <c r="S22" i="11"/>
  <c r="S14" i="11"/>
  <c r="R24" i="11" l="1"/>
  <c r="R10" i="7" s="1"/>
  <c r="R8" i="15" s="1"/>
  <c r="R23" i="15" s="1"/>
  <c r="Q11" i="15"/>
  <c r="S15" i="11"/>
  <c r="T22" i="11"/>
  <c r="T14" i="11"/>
  <c r="T21" i="11"/>
  <c r="T13" i="11"/>
  <c r="S23" i="11"/>
  <c r="R11" i="15" l="1"/>
  <c r="T15" i="11"/>
  <c r="T23" i="11"/>
  <c r="S24" i="11"/>
  <c r="S10" i="7" s="1"/>
  <c r="S8" i="15" s="1"/>
  <c r="S11" i="15" s="1"/>
  <c r="U21" i="11"/>
  <c r="U13" i="11"/>
  <c r="U22" i="11"/>
  <c r="U14" i="11"/>
  <c r="T24" i="11" l="1"/>
  <c r="T10" i="7" s="1"/>
  <c r="T8" i="15" s="1"/>
  <c r="T11" i="15" s="1"/>
  <c r="S23" i="15"/>
  <c r="V22" i="11"/>
  <c r="V14" i="11"/>
  <c r="V21" i="11"/>
  <c r="V13" i="11"/>
  <c r="U15" i="11"/>
  <c r="U23" i="11"/>
  <c r="T23" i="15" l="1"/>
  <c r="V15" i="11"/>
  <c r="V23" i="11"/>
  <c r="W21" i="11"/>
  <c r="W13" i="11"/>
  <c r="W22" i="11"/>
  <c r="W14" i="11"/>
  <c r="U24" i="11"/>
  <c r="U10" i="7" s="1"/>
  <c r="U8" i="15" s="1"/>
  <c r="V24" i="11" l="1"/>
  <c r="V10" i="7" s="1"/>
  <c r="V8" i="15" s="1"/>
  <c r="V11" i="15" s="1"/>
  <c r="U23" i="15"/>
  <c r="U11" i="15"/>
  <c r="W23" i="11"/>
  <c r="W15" i="11"/>
  <c r="X22" i="11"/>
  <c r="X14" i="11"/>
  <c r="X21" i="11"/>
  <c r="X13" i="11"/>
  <c r="V23" i="15" l="1"/>
  <c r="X15" i="11"/>
  <c r="W24" i="11"/>
  <c r="W10" i="7" s="1"/>
  <c r="W8" i="15" s="1"/>
  <c r="W23" i="15" s="1"/>
  <c r="X23" i="11"/>
  <c r="Y21" i="11"/>
  <c r="Y13" i="11"/>
  <c r="Y22" i="11"/>
  <c r="Y14" i="11"/>
  <c r="X24" i="11" l="1"/>
  <c r="X10" i="7" s="1"/>
  <c r="X8" i="15" s="1"/>
  <c r="X11" i="15" s="1"/>
  <c r="W11" i="15"/>
  <c r="Y23" i="11"/>
  <c r="Z22" i="11"/>
  <c r="Z14" i="11"/>
  <c r="Z21" i="11"/>
  <c r="Z13" i="11"/>
  <c r="Y15" i="11"/>
  <c r="Z15" i="11" l="1"/>
  <c r="X23" i="15"/>
  <c r="Z23" i="11"/>
  <c r="Y24" i="11"/>
  <c r="Y10" i="7" s="1"/>
  <c r="Y8" i="15" s="1"/>
  <c r="AA21" i="11"/>
  <c r="AA13" i="11"/>
  <c r="AA22" i="11"/>
  <c r="AA14" i="11"/>
  <c r="Z24" i="11" l="1"/>
  <c r="Z10" i="7" s="1"/>
  <c r="Z8" i="15" s="1"/>
  <c r="Z23" i="15" s="1"/>
  <c r="AB22" i="11"/>
  <c r="AB14" i="11"/>
  <c r="AB21" i="11"/>
  <c r="AB13" i="11"/>
  <c r="Y11" i="15"/>
  <c r="Y23" i="15"/>
  <c r="AA15" i="11"/>
  <c r="AA23" i="11"/>
  <c r="A7" i="4"/>
  <c r="A6" i="4"/>
  <c r="C57" i="3"/>
  <c r="D57" i="3" s="1"/>
  <c r="C58" i="3"/>
  <c r="D58" i="3" s="1"/>
  <c r="C59" i="3"/>
  <c r="E59" i="3" s="1"/>
  <c r="G59" i="3" s="1"/>
  <c r="C60" i="3"/>
  <c r="E60" i="3" s="1"/>
  <c r="G60" i="3" s="1"/>
  <c r="C61" i="3"/>
  <c r="D61" i="3" s="1"/>
  <c r="C62" i="3"/>
  <c r="D62" i="3" s="1"/>
  <c r="C63" i="3"/>
  <c r="E63" i="3" s="1"/>
  <c r="G63" i="3" s="1"/>
  <c r="C64" i="3"/>
  <c r="E64" i="3" s="1"/>
  <c r="G64" i="3" s="1"/>
  <c r="C65" i="3"/>
  <c r="D65" i="3" s="1"/>
  <c r="C66" i="3"/>
  <c r="D66" i="3" s="1"/>
  <c r="C67" i="3"/>
  <c r="E67" i="3" s="1"/>
  <c r="G67" i="3" s="1"/>
  <c r="C68" i="3"/>
  <c r="E68" i="3" s="1"/>
  <c r="G68" i="3" s="1"/>
  <c r="C69" i="3"/>
  <c r="D69" i="3" s="1"/>
  <c r="C70" i="3"/>
  <c r="D70" i="3" s="1"/>
  <c r="C71" i="3"/>
  <c r="E71" i="3" s="1"/>
  <c r="G71" i="3" s="1"/>
  <c r="C72" i="3"/>
  <c r="E72" i="3" s="1"/>
  <c r="G72" i="3" s="1"/>
  <c r="C73" i="3"/>
  <c r="D73" i="3" s="1"/>
  <c r="C74" i="3"/>
  <c r="D74" i="3" s="1"/>
  <c r="C75" i="3"/>
  <c r="E75" i="3" s="1"/>
  <c r="G75" i="3" s="1"/>
  <c r="C76" i="3"/>
  <c r="E76" i="3" s="1"/>
  <c r="G76" i="3" s="1"/>
  <c r="C77" i="3"/>
  <c r="D77" i="3" s="1"/>
  <c r="C78" i="3"/>
  <c r="E78" i="3" s="1"/>
  <c r="G78" i="3" s="1"/>
  <c r="C79" i="3"/>
  <c r="E79" i="3" s="1"/>
  <c r="G79" i="3" s="1"/>
  <c r="C80" i="3"/>
  <c r="E80" i="3" s="1"/>
  <c r="G80" i="3" s="1"/>
  <c r="C81" i="3"/>
  <c r="D81" i="3" s="1"/>
  <c r="C56" i="3"/>
  <c r="D56" i="3" s="1"/>
  <c r="Z11" i="15" l="1"/>
  <c r="AB23" i="11"/>
  <c r="AB15" i="11"/>
  <c r="AA24" i="11"/>
  <c r="AA10" i="7" s="1"/>
  <c r="AA8" i="15" s="1"/>
  <c r="AA11" i="15" s="1"/>
  <c r="D72" i="3"/>
  <c r="E56" i="3"/>
  <c r="D68" i="3"/>
  <c r="D80" i="3"/>
  <c r="D64" i="3"/>
  <c r="D76" i="3"/>
  <c r="D60" i="3"/>
  <c r="E74" i="3"/>
  <c r="G74" i="3" s="1"/>
  <c r="E70" i="3"/>
  <c r="G70" i="3" s="1"/>
  <c r="E66" i="3"/>
  <c r="G66" i="3" s="1"/>
  <c r="E62" i="3"/>
  <c r="G62" i="3" s="1"/>
  <c r="E58" i="3"/>
  <c r="G58" i="3" s="1"/>
  <c r="D79" i="3"/>
  <c r="D75" i="3"/>
  <c r="D71" i="3"/>
  <c r="D67" i="3"/>
  <c r="D63" i="3"/>
  <c r="D59" i="3"/>
  <c r="E81" i="3"/>
  <c r="G81" i="3" s="1"/>
  <c r="E77" i="3"/>
  <c r="G77" i="3" s="1"/>
  <c r="E73" i="3"/>
  <c r="G73" i="3" s="1"/>
  <c r="E69" i="3"/>
  <c r="G69" i="3" s="1"/>
  <c r="E65" i="3"/>
  <c r="G65" i="3" s="1"/>
  <c r="E61" i="3"/>
  <c r="G61" i="3" s="1"/>
  <c r="E57" i="3"/>
  <c r="D78" i="3"/>
  <c r="Q20" i="3"/>
  <c r="R14" i="3"/>
  <c r="R15" i="3"/>
  <c r="R16" i="3"/>
  <c r="R17" i="3"/>
  <c r="R18" i="3"/>
  <c r="R19" i="3"/>
  <c r="C47" i="3"/>
  <c r="AB24" i="11" l="1"/>
  <c r="AB10" i="7" s="1"/>
  <c r="AB8" i="15" s="1"/>
  <c r="AB11" i="15" s="1"/>
  <c r="AA23" i="15"/>
  <c r="R20" i="3"/>
  <c r="G56" i="3"/>
  <c r="F56" i="3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G57" i="3"/>
  <c r="C5" i="3"/>
  <c r="AB23" i="15" l="1"/>
  <c r="D47" i="3"/>
  <c r="C6" i="3"/>
  <c r="F14" i="3"/>
  <c r="F18" i="3"/>
  <c r="F22" i="3"/>
  <c r="F26" i="3"/>
  <c r="F30" i="3"/>
  <c r="F34" i="3"/>
  <c r="F11" i="3"/>
  <c r="F15" i="3"/>
  <c r="F19" i="3"/>
  <c r="F23" i="3"/>
  <c r="F27" i="3"/>
  <c r="F35" i="3"/>
  <c r="F31" i="3"/>
  <c r="F12" i="3"/>
  <c r="F16" i="3"/>
  <c r="F20" i="3"/>
  <c r="F24" i="3"/>
  <c r="F28" i="3"/>
  <c r="F32" i="3"/>
  <c r="F36" i="3"/>
  <c r="F13" i="3"/>
  <c r="F17" i="3"/>
  <c r="F21" i="3"/>
  <c r="F25" i="3"/>
  <c r="F29" i="3"/>
  <c r="F33" i="3"/>
  <c r="F37" i="3"/>
  <c r="E37" i="3" s="1"/>
  <c r="C38" i="3"/>
  <c r="D38" i="3" s="1"/>
  <c r="F38" i="3" s="1"/>
  <c r="E33" i="3" l="1"/>
  <c r="I33" i="3" s="1"/>
  <c r="J33" i="3"/>
  <c r="E17" i="3"/>
  <c r="J17" i="3"/>
  <c r="E28" i="3"/>
  <c r="I28" i="3" s="1"/>
  <c r="J28" i="3"/>
  <c r="E12" i="3"/>
  <c r="J12" i="3"/>
  <c r="E23" i="3"/>
  <c r="J23" i="3"/>
  <c r="E34" i="3"/>
  <c r="I34" i="3" s="1"/>
  <c r="J34" i="3"/>
  <c r="E18" i="3"/>
  <c r="I18" i="3" s="1"/>
  <c r="J18" i="3"/>
  <c r="E29" i="3"/>
  <c r="I29" i="3" s="1"/>
  <c r="J29" i="3"/>
  <c r="E13" i="3"/>
  <c r="I13" i="3" s="1"/>
  <c r="J13" i="3"/>
  <c r="E24" i="3"/>
  <c r="I24" i="3" s="1"/>
  <c r="J24" i="3"/>
  <c r="E31" i="3"/>
  <c r="I31" i="3" s="1"/>
  <c r="F44" i="3" s="1"/>
  <c r="F47" i="3" s="1"/>
  <c r="J31" i="3"/>
  <c r="E19" i="3"/>
  <c r="I19" i="3" s="1"/>
  <c r="J19" i="3"/>
  <c r="E30" i="3"/>
  <c r="I30" i="3" s="1"/>
  <c r="J30" i="3"/>
  <c r="E14" i="3"/>
  <c r="I14" i="3" s="1"/>
  <c r="J14" i="3"/>
  <c r="E25" i="3"/>
  <c r="I25" i="3" s="1"/>
  <c r="J25" i="3"/>
  <c r="E36" i="3"/>
  <c r="I36" i="3" s="1"/>
  <c r="J36" i="3"/>
  <c r="E20" i="3"/>
  <c r="I20" i="3" s="1"/>
  <c r="J20" i="3"/>
  <c r="E35" i="3"/>
  <c r="I35" i="3" s="1"/>
  <c r="J35" i="3"/>
  <c r="E15" i="3"/>
  <c r="J15" i="3"/>
  <c r="E26" i="3"/>
  <c r="I26" i="3" s="1"/>
  <c r="J26" i="3"/>
  <c r="D13" i="3"/>
  <c r="H13" i="3" s="1"/>
  <c r="D17" i="3"/>
  <c r="H17" i="3" s="1"/>
  <c r="D21" i="3"/>
  <c r="H21" i="3" s="1"/>
  <c r="D25" i="3"/>
  <c r="H25" i="3" s="1"/>
  <c r="D29" i="3"/>
  <c r="H29" i="3" s="1"/>
  <c r="D33" i="3"/>
  <c r="H33" i="3" s="1"/>
  <c r="D37" i="3"/>
  <c r="D14" i="3"/>
  <c r="H14" i="3" s="1"/>
  <c r="D18" i="3"/>
  <c r="H18" i="3" s="1"/>
  <c r="D22" i="3"/>
  <c r="H22" i="3" s="1"/>
  <c r="D26" i="3"/>
  <c r="H26" i="3" s="1"/>
  <c r="D30" i="3"/>
  <c r="H30" i="3" s="1"/>
  <c r="D11" i="3"/>
  <c r="H11" i="3" s="1"/>
  <c r="D34" i="3"/>
  <c r="H34" i="3" s="1"/>
  <c r="D15" i="3"/>
  <c r="H15" i="3" s="1"/>
  <c r="D19" i="3"/>
  <c r="H19" i="3" s="1"/>
  <c r="D23" i="3"/>
  <c r="H23" i="3" s="1"/>
  <c r="D27" i="3"/>
  <c r="H27" i="3" s="1"/>
  <c r="D31" i="3"/>
  <c r="H31" i="3" s="1"/>
  <c r="D35" i="3"/>
  <c r="H35" i="3" s="1"/>
  <c r="D12" i="3"/>
  <c r="H12" i="3" s="1"/>
  <c r="D16" i="3"/>
  <c r="H16" i="3" s="1"/>
  <c r="D20" i="3"/>
  <c r="H20" i="3" s="1"/>
  <c r="D24" i="3"/>
  <c r="H24" i="3" s="1"/>
  <c r="D28" i="3"/>
  <c r="H28" i="3" s="1"/>
  <c r="D32" i="3"/>
  <c r="H32" i="3" s="1"/>
  <c r="D36" i="3"/>
  <c r="H36" i="3" s="1"/>
  <c r="E21" i="3"/>
  <c r="I21" i="3" s="1"/>
  <c r="J21" i="3"/>
  <c r="E32" i="3"/>
  <c r="I32" i="3" s="1"/>
  <c r="J32" i="3"/>
  <c r="E16" i="3"/>
  <c r="I16" i="3" s="1"/>
  <c r="J16" i="3"/>
  <c r="E27" i="3"/>
  <c r="I27" i="3" s="1"/>
  <c r="J27" i="3"/>
  <c r="J11" i="3"/>
  <c r="E11" i="3"/>
  <c r="I11" i="3" s="1"/>
  <c r="E22" i="3"/>
  <c r="J22" i="3"/>
  <c r="D44" i="3"/>
  <c r="E44" i="3" s="1"/>
  <c r="D6" i="4" s="1"/>
  <c r="D45" i="3"/>
  <c r="I12" i="3"/>
  <c r="I15" i="3"/>
  <c r="I17" i="3"/>
  <c r="I23" i="3"/>
  <c r="I22" i="3"/>
  <c r="E38" i="3"/>
  <c r="D46" i="3"/>
  <c r="E46" i="3" s="1"/>
  <c r="D9" i="4" s="1"/>
  <c r="E45" i="3" l="1"/>
  <c r="D7" i="4" s="1"/>
  <c r="C13" i="7"/>
  <c r="C17" i="7" s="1"/>
  <c r="X9" i="15"/>
  <c r="N9" i="15"/>
  <c r="P9" i="15"/>
  <c r="Z9" i="15"/>
  <c r="G9" i="15"/>
  <c r="F9" i="15"/>
  <c r="J9" i="15"/>
  <c r="S9" i="15"/>
  <c r="D9" i="15"/>
  <c r="V9" i="15"/>
  <c r="H9" i="15"/>
  <c r="O9" i="15"/>
  <c r="I9" i="15"/>
  <c r="Y9" i="15"/>
  <c r="AB9" i="15"/>
  <c r="M9" i="15"/>
  <c r="L9" i="15"/>
  <c r="K9" i="15"/>
  <c r="E9" i="15"/>
  <c r="AA9" i="15"/>
  <c r="T9" i="15"/>
  <c r="R9" i="15"/>
  <c r="W9" i="15"/>
  <c r="U9" i="15"/>
  <c r="Q9" i="15"/>
  <c r="E47" i="3" l="1"/>
  <c r="D5" i="4" s="1"/>
  <c r="D14" i="15"/>
  <c r="D29" i="15"/>
  <c r="D32" i="15"/>
  <c r="D38" i="15"/>
  <c r="D20" i="15"/>
  <c r="D35" i="15"/>
  <c r="D17" i="15"/>
  <c r="T38" i="15"/>
  <c r="T29" i="15"/>
  <c r="T35" i="15"/>
  <c r="T32" i="15"/>
  <c r="T20" i="15"/>
  <c r="T17" i="15"/>
  <c r="T14" i="15"/>
  <c r="Z35" i="15"/>
  <c r="Z38" i="15"/>
  <c r="Z29" i="15"/>
  <c r="Z32" i="15"/>
  <c r="Z17" i="15"/>
  <c r="Z20" i="15"/>
  <c r="Z14" i="15"/>
  <c r="Y29" i="15"/>
  <c r="Y32" i="15"/>
  <c r="Y38" i="15"/>
  <c r="Y35" i="15"/>
  <c r="Y17" i="15"/>
  <c r="Y14" i="15"/>
  <c r="Y20" i="15"/>
  <c r="P38" i="15"/>
  <c r="P35" i="15"/>
  <c r="P32" i="15"/>
  <c r="P29" i="15"/>
  <c r="P20" i="15"/>
  <c r="P17" i="15"/>
  <c r="P14" i="15"/>
  <c r="AA35" i="15"/>
  <c r="AA38" i="15"/>
  <c r="AA32" i="15"/>
  <c r="AA29" i="15"/>
  <c r="AA14" i="15"/>
  <c r="AA17" i="15"/>
  <c r="AA20" i="15"/>
  <c r="V35" i="15"/>
  <c r="V38" i="15"/>
  <c r="V32" i="15"/>
  <c r="V29" i="15"/>
  <c r="V17" i="15"/>
  <c r="V20" i="15"/>
  <c r="V14" i="15"/>
  <c r="N32" i="15"/>
  <c r="N35" i="15"/>
  <c r="N29" i="15"/>
  <c r="N38" i="15"/>
  <c r="N17" i="15"/>
  <c r="N20" i="15"/>
  <c r="N14" i="15"/>
  <c r="Q29" i="15"/>
  <c r="Q32" i="15"/>
  <c r="Q35" i="15"/>
  <c r="Q38" i="15"/>
  <c r="Q14" i="15"/>
  <c r="Q20" i="15"/>
  <c r="Q17" i="15"/>
  <c r="X29" i="15"/>
  <c r="X35" i="15"/>
  <c r="X38" i="15"/>
  <c r="X32" i="15"/>
  <c r="X20" i="15"/>
  <c r="X14" i="15"/>
  <c r="X17" i="15"/>
  <c r="R35" i="15"/>
  <c r="R29" i="15"/>
  <c r="R38" i="15"/>
  <c r="R32" i="15"/>
  <c r="R14" i="15"/>
  <c r="R17" i="15"/>
  <c r="R20" i="15"/>
  <c r="O29" i="15"/>
  <c r="O35" i="15"/>
  <c r="O32" i="15"/>
  <c r="O38" i="15"/>
  <c r="O17" i="15"/>
  <c r="O14" i="15"/>
  <c r="O20" i="15"/>
  <c r="U29" i="15"/>
  <c r="U32" i="15"/>
  <c r="U38" i="15"/>
  <c r="U35" i="15"/>
  <c r="U17" i="15"/>
  <c r="U20" i="15"/>
  <c r="U14" i="15"/>
  <c r="M29" i="15"/>
  <c r="M20" i="15"/>
  <c r="M32" i="15"/>
  <c r="M17" i="15"/>
  <c r="M14" i="15"/>
  <c r="M35" i="15"/>
  <c r="M38" i="15"/>
  <c r="S38" i="15"/>
  <c r="S29" i="15"/>
  <c r="S32" i="15"/>
  <c r="S35" i="15"/>
  <c r="S20" i="15"/>
  <c r="S14" i="15"/>
  <c r="S17" i="15"/>
  <c r="W32" i="15"/>
  <c r="W35" i="15"/>
  <c r="W38" i="15"/>
  <c r="W29" i="15"/>
  <c r="W17" i="15"/>
  <c r="W20" i="15"/>
  <c r="W14" i="15"/>
  <c r="AB32" i="15"/>
  <c r="AB35" i="15"/>
  <c r="AB29" i="15"/>
  <c r="AB38" i="15"/>
  <c r="AB20" i="15"/>
  <c r="AB14" i="15"/>
  <c r="AB17" i="15"/>
  <c r="F35" i="15"/>
  <c r="F32" i="15"/>
  <c r="F20" i="15"/>
  <c r="F17" i="15"/>
  <c r="F14" i="15"/>
  <c r="F38" i="15"/>
  <c r="F29" i="15"/>
  <c r="G17" i="15"/>
  <c r="G35" i="15"/>
  <c r="G38" i="15"/>
  <c r="G14" i="15"/>
  <c r="G20" i="15"/>
  <c r="G32" i="15"/>
  <c r="G29" i="15"/>
  <c r="K38" i="15"/>
  <c r="K17" i="15"/>
  <c r="K35" i="15"/>
  <c r="K20" i="15"/>
  <c r="K29" i="15"/>
  <c r="K14" i="15"/>
  <c r="K32" i="15"/>
  <c r="I14" i="15"/>
  <c r="I35" i="15"/>
  <c r="I29" i="15"/>
  <c r="I17" i="15"/>
  <c r="I20" i="15"/>
  <c r="I32" i="15"/>
  <c r="I38" i="15"/>
  <c r="L14" i="15"/>
  <c r="L38" i="15"/>
  <c r="L35" i="15"/>
  <c r="L17" i="15"/>
  <c r="L20" i="15"/>
  <c r="L32" i="15"/>
  <c r="L29" i="15"/>
  <c r="E38" i="15"/>
  <c r="E14" i="15"/>
  <c r="E20" i="15"/>
  <c r="E32" i="15"/>
  <c r="E17" i="15"/>
  <c r="E35" i="15"/>
  <c r="E29" i="15"/>
  <c r="H17" i="15"/>
  <c r="H35" i="15"/>
  <c r="H14" i="15"/>
  <c r="H38" i="15"/>
  <c r="H20" i="15"/>
  <c r="H32" i="15"/>
  <c r="H29" i="15"/>
  <c r="J20" i="15"/>
  <c r="J14" i="15"/>
  <c r="J29" i="15"/>
  <c r="J32" i="15"/>
  <c r="J35" i="15"/>
  <c r="J17" i="15"/>
  <c r="J38" i="15"/>
  <c r="C19" i="7"/>
  <c r="Q8" i="7"/>
  <c r="Q13" i="7" s="1"/>
  <c r="X8" i="7"/>
  <c r="X13" i="7" s="1"/>
  <c r="U8" i="7"/>
  <c r="U13" i="7" s="1"/>
  <c r="AA8" i="7"/>
  <c r="AA13" i="7" s="1"/>
  <c r="M8" i="7"/>
  <c r="M13" i="7" s="1"/>
  <c r="O8" i="7"/>
  <c r="O13" i="7" s="1"/>
  <c r="S8" i="7"/>
  <c r="S13" i="7" s="1"/>
  <c r="Z8" i="7"/>
  <c r="Z13" i="7" s="1"/>
  <c r="L8" i="7"/>
  <c r="L13" i="7" s="1"/>
  <c r="AB8" i="7"/>
  <c r="AB13" i="7" s="1"/>
  <c r="J8" i="7"/>
  <c r="J13" i="7" s="1"/>
  <c r="P8" i="7"/>
  <c r="P13" i="7" s="1"/>
  <c r="T8" i="7"/>
  <c r="T13" i="7" s="1"/>
  <c r="I8" i="7"/>
  <c r="I13" i="7" s="1"/>
  <c r="G8" i="7"/>
  <c r="G13" i="7" s="1"/>
  <c r="W8" i="7"/>
  <c r="W13" i="7" s="1"/>
  <c r="E13" i="7"/>
  <c r="H8" i="7"/>
  <c r="H13" i="7" s="1"/>
  <c r="R8" i="7"/>
  <c r="R13" i="7" s="1"/>
  <c r="K8" i="7"/>
  <c r="K13" i="7" s="1"/>
  <c r="Y8" i="7"/>
  <c r="Y13" i="7" s="1"/>
  <c r="V8" i="7"/>
  <c r="V13" i="7" s="1"/>
  <c r="F8" i="7"/>
  <c r="F13" i="7" s="1"/>
  <c r="N8" i="7"/>
  <c r="N13" i="7" s="1"/>
  <c r="G41" i="15" l="1"/>
  <c r="AB41" i="15"/>
  <c r="AC42" i="15" s="1"/>
  <c r="W41" i="15"/>
  <c r="U26" i="15"/>
  <c r="AA41" i="15"/>
  <c r="P26" i="15"/>
  <c r="Z26" i="15"/>
  <c r="D41" i="15"/>
  <c r="I26" i="15"/>
  <c r="D26" i="15"/>
  <c r="D27" i="15" s="1"/>
  <c r="X26" i="15"/>
  <c r="O26" i="15"/>
  <c r="F41" i="15"/>
  <c r="G42" i="15" s="1"/>
  <c r="AB26" i="15"/>
  <c r="AB45" i="15" s="1"/>
  <c r="O41" i="15"/>
  <c r="V41" i="15"/>
  <c r="Y41" i="15"/>
  <c r="T26" i="15"/>
  <c r="U41" i="15"/>
  <c r="Q26" i="15"/>
  <c r="F26" i="15"/>
  <c r="F45" i="15" s="1"/>
  <c r="S41" i="15"/>
  <c r="M41" i="15"/>
  <c r="N41" i="15"/>
  <c r="R26" i="15"/>
  <c r="Y26" i="15"/>
  <c r="Q41" i="15"/>
  <c r="V26" i="15"/>
  <c r="Z41" i="15"/>
  <c r="T41" i="15"/>
  <c r="W26" i="15"/>
  <c r="S26" i="15"/>
  <c r="M26" i="15"/>
  <c r="R41" i="15"/>
  <c r="X41" i="15"/>
  <c r="X42" i="15" s="1"/>
  <c r="N26" i="15"/>
  <c r="AA26" i="15"/>
  <c r="P41" i="15"/>
  <c r="L26" i="15"/>
  <c r="I41" i="15"/>
  <c r="H26" i="15"/>
  <c r="E26" i="15"/>
  <c r="J41" i="15"/>
  <c r="K26" i="15"/>
  <c r="J26" i="15"/>
  <c r="J27" i="15" s="1"/>
  <c r="L41" i="15"/>
  <c r="K41" i="15"/>
  <c r="G26" i="15"/>
  <c r="E41" i="15"/>
  <c r="F42" i="15" s="1"/>
  <c r="H41" i="15"/>
  <c r="B9" i="13"/>
  <c r="B7" i="13"/>
  <c r="E17" i="7"/>
  <c r="C30" i="11"/>
  <c r="C31" i="11" s="1"/>
  <c r="C20" i="7" s="1"/>
  <c r="C21" i="7" s="1"/>
  <c r="B3" i="13" s="1"/>
  <c r="X19" i="7"/>
  <c r="X17" i="7"/>
  <c r="Y19" i="7"/>
  <c r="Y17" i="7"/>
  <c r="M17" i="7"/>
  <c r="I17" i="7"/>
  <c r="L17" i="7"/>
  <c r="H17" i="7"/>
  <c r="T19" i="7"/>
  <c r="T17" i="7"/>
  <c r="W19" i="7"/>
  <c r="W17" i="7"/>
  <c r="Z19" i="7"/>
  <c r="Z17" i="7"/>
  <c r="Q19" i="7"/>
  <c r="Q17" i="7"/>
  <c r="AB19" i="7"/>
  <c r="AB17" i="7"/>
  <c r="N19" i="7"/>
  <c r="N17" i="7"/>
  <c r="K17" i="7"/>
  <c r="P19" i="7"/>
  <c r="P17" i="7"/>
  <c r="AA19" i="7"/>
  <c r="AA17" i="7"/>
  <c r="V19" i="7"/>
  <c r="V17" i="7"/>
  <c r="O19" i="7"/>
  <c r="O17" i="7"/>
  <c r="F17" i="7"/>
  <c r="R19" i="7"/>
  <c r="R17" i="7"/>
  <c r="G17" i="7"/>
  <c r="J17" i="7"/>
  <c r="S19" i="7"/>
  <c r="S17" i="7"/>
  <c r="U19" i="7"/>
  <c r="U17" i="7"/>
  <c r="D17" i="7"/>
  <c r="Q27" i="15" l="1"/>
  <c r="AA27" i="15"/>
  <c r="U27" i="15"/>
  <c r="Y27" i="15"/>
  <c r="P27" i="15"/>
  <c r="E27" i="15"/>
  <c r="AB42" i="15"/>
  <c r="X27" i="15"/>
  <c r="V42" i="15"/>
  <c r="D42" i="15"/>
  <c r="D45" i="15"/>
  <c r="D46" i="15" s="1"/>
  <c r="P42" i="15"/>
  <c r="Z27" i="15"/>
  <c r="T42" i="15"/>
  <c r="Z42" i="15"/>
  <c r="W45" i="15"/>
  <c r="W42" i="15"/>
  <c r="R45" i="15"/>
  <c r="R27" i="15"/>
  <c r="O27" i="15"/>
  <c r="N27" i="15"/>
  <c r="V45" i="15"/>
  <c r="V27" i="15"/>
  <c r="T45" i="15"/>
  <c r="T27" i="15"/>
  <c r="P45" i="15"/>
  <c r="Q42" i="15"/>
  <c r="Q45" i="15"/>
  <c r="AC46" i="15"/>
  <c r="AA6" i="13" s="1"/>
  <c r="Z45" i="15"/>
  <c r="Y42" i="15"/>
  <c r="Y45" i="15"/>
  <c r="G27" i="15"/>
  <c r="R42" i="15"/>
  <c r="AA45" i="15"/>
  <c r="AB46" i="15" s="1"/>
  <c r="Z6" i="13" s="1"/>
  <c r="AA42" i="15"/>
  <c r="O42" i="15"/>
  <c r="O45" i="15"/>
  <c r="S42" i="15"/>
  <c r="S45" i="15"/>
  <c r="S27" i="15"/>
  <c r="N42" i="15"/>
  <c r="N45" i="15"/>
  <c r="X45" i="15"/>
  <c r="AC27" i="15"/>
  <c r="AB27" i="15"/>
  <c r="M27" i="15"/>
  <c r="W27" i="15"/>
  <c r="M42" i="15"/>
  <c r="M45" i="15"/>
  <c r="U42" i="15"/>
  <c r="U45" i="15"/>
  <c r="H27" i="15"/>
  <c r="F27" i="15"/>
  <c r="I27" i="15"/>
  <c r="K42" i="15"/>
  <c r="K45" i="15"/>
  <c r="K27" i="15"/>
  <c r="I42" i="15"/>
  <c r="I45" i="15"/>
  <c r="H42" i="15"/>
  <c r="H45" i="15"/>
  <c r="J42" i="15"/>
  <c r="J45" i="15"/>
  <c r="G45" i="15"/>
  <c r="G46" i="15" s="1"/>
  <c r="E6" i="13" s="1"/>
  <c r="L42" i="15"/>
  <c r="L45" i="15"/>
  <c r="E42" i="15"/>
  <c r="E45" i="15"/>
  <c r="L27" i="15"/>
  <c r="X30" i="11"/>
  <c r="W9" i="13"/>
  <c r="W7" i="13"/>
  <c r="N30" i="11"/>
  <c r="M9" i="13"/>
  <c r="M7" i="13"/>
  <c r="W30" i="11"/>
  <c r="V9" i="13"/>
  <c r="V7" i="13"/>
  <c r="U30" i="11"/>
  <c r="T9" i="13"/>
  <c r="T7" i="13"/>
  <c r="R30" i="11"/>
  <c r="Q9" i="13"/>
  <c r="Q7" i="13"/>
  <c r="AA30" i="11"/>
  <c r="Z9" i="13"/>
  <c r="Z7" i="13"/>
  <c r="T30" i="11"/>
  <c r="S9" i="13"/>
  <c r="S7" i="13"/>
  <c r="Z30" i="11"/>
  <c r="Y9" i="13"/>
  <c r="Y7" i="13"/>
  <c r="V30" i="11"/>
  <c r="U9" i="13"/>
  <c r="U7" i="13"/>
  <c r="AB30" i="11"/>
  <c r="AA9" i="13"/>
  <c r="AA7" i="13"/>
  <c r="S30" i="11"/>
  <c r="R9" i="13"/>
  <c r="R7" i="13"/>
  <c r="P30" i="11"/>
  <c r="O9" i="13"/>
  <c r="O7" i="13"/>
  <c r="Q30" i="11"/>
  <c r="P7" i="13"/>
  <c r="P9" i="13"/>
  <c r="Y30" i="11"/>
  <c r="X9" i="13"/>
  <c r="X7" i="13"/>
  <c r="O30" i="11"/>
  <c r="N9" i="13"/>
  <c r="N7" i="13"/>
  <c r="E46" i="15" l="1"/>
  <c r="C6" i="13" s="1"/>
  <c r="Q46" i="15"/>
  <c r="O6" i="13" s="1"/>
  <c r="C7" i="14"/>
  <c r="B6" i="13"/>
  <c r="W46" i="15"/>
  <c r="U6" i="13" s="1"/>
  <c r="X46" i="15"/>
  <c r="V6" i="13" s="1"/>
  <c r="S46" i="15"/>
  <c r="Q6" i="13" s="1"/>
  <c r="Y46" i="15"/>
  <c r="W6" i="13" s="1"/>
  <c r="T46" i="15"/>
  <c r="R6" i="13" s="1"/>
  <c r="O46" i="15"/>
  <c r="M6" i="13" s="1"/>
  <c r="Z46" i="15"/>
  <c r="X6" i="13" s="1"/>
  <c r="I46" i="15"/>
  <c r="G6" i="13" s="1"/>
  <c r="U46" i="15"/>
  <c r="S6" i="13" s="1"/>
  <c r="V46" i="15"/>
  <c r="T6" i="13" s="1"/>
  <c r="N46" i="15"/>
  <c r="L6" i="13" s="1"/>
  <c r="AA46" i="15"/>
  <c r="Y6" i="13" s="1"/>
  <c r="K46" i="15"/>
  <c r="I6" i="13" s="1"/>
  <c r="P46" i="15"/>
  <c r="N6" i="13" s="1"/>
  <c r="R46" i="15"/>
  <c r="P6" i="13" s="1"/>
  <c r="L46" i="15"/>
  <c r="J6" i="13" s="1"/>
  <c r="M46" i="15"/>
  <c r="K6" i="13" s="1"/>
  <c r="F46" i="15"/>
  <c r="D6" i="13" s="1"/>
  <c r="J46" i="15"/>
  <c r="H6" i="13" s="1"/>
  <c r="H46" i="15"/>
  <c r="F6" i="13" s="1"/>
  <c r="E4" i="14" l="1"/>
  <c r="E3" i="14"/>
  <c r="E11" i="14" s="1"/>
  <c r="B5" i="13" l="1"/>
  <c r="B8" i="13" s="1"/>
  <c r="B11" i="13" s="1"/>
  <c r="I11" i="14"/>
  <c r="I12" i="14" s="1"/>
  <c r="I13" i="14" s="1"/>
  <c r="I14" i="14" s="1"/>
  <c r="I15" i="14" s="1"/>
  <c r="I16" i="14" s="1"/>
  <c r="I17" i="14" s="1"/>
  <c r="I18" i="14" s="1"/>
  <c r="I19" i="14" s="1"/>
  <c r="I20" i="14" s="1"/>
  <c r="I21" i="14" s="1"/>
  <c r="I22" i="14" s="1"/>
  <c r="I23" i="14" s="1"/>
  <c r="I24" i="14" s="1"/>
  <c r="I25" i="14" s="1"/>
  <c r="I26" i="14" s="1"/>
  <c r="I27" i="14" s="1"/>
  <c r="I28" i="14" s="1"/>
  <c r="I29" i="14" s="1"/>
  <c r="I30" i="14" s="1"/>
  <c r="I31" i="14" s="1"/>
  <c r="I32" i="14" s="1"/>
  <c r="I33" i="14" s="1"/>
  <c r="I34" i="14" s="1"/>
  <c r="I35" i="14" s="1"/>
  <c r="I36" i="14" s="1"/>
  <c r="I37" i="14" s="1"/>
  <c r="I38" i="14" s="1"/>
  <c r="I39" i="14" s="1"/>
  <c r="I40" i="14" s="1"/>
  <c r="I41" i="14" s="1"/>
  <c r="I42" i="14" s="1"/>
  <c r="I43" i="14" s="1"/>
  <c r="I44" i="14" s="1"/>
  <c r="I45" i="14" s="1"/>
  <c r="I46" i="14" s="1"/>
  <c r="I47" i="14" s="1"/>
  <c r="I48" i="14" s="1"/>
  <c r="I49" i="14" s="1"/>
  <c r="I50" i="14" s="1"/>
  <c r="I51" i="14" s="1"/>
  <c r="I52" i="14" s="1"/>
  <c r="I53" i="14" s="1"/>
  <c r="I54" i="14" s="1"/>
  <c r="I55" i="14" s="1"/>
  <c r="I56" i="14" s="1"/>
  <c r="I57" i="14" s="1"/>
  <c r="I58" i="14" s="1"/>
  <c r="I59" i="14" s="1"/>
  <c r="I60" i="14" s="1"/>
  <c r="I61" i="14" s="1"/>
  <c r="I62" i="14" s="1"/>
  <c r="I63" i="14" s="1"/>
  <c r="I64" i="14" s="1"/>
  <c r="I65" i="14" s="1"/>
  <c r="I66" i="14" s="1"/>
  <c r="I67" i="14" s="1"/>
  <c r="I68" i="14" s="1"/>
  <c r="I69" i="14" s="1"/>
  <c r="I70" i="14" s="1"/>
  <c r="I71" i="14" s="1"/>
  <c r="I72" i="14" s="1"/>
  <c r="I73" i="14" s="1"/>
  <c r="I74" i="14" s="1"/>
  <c r="I75" i="14" s="1"/>
  <c r="I76" i="14" s="1"/>
  <c r="I77" i="14" s="1"/>
  <c r="I78" i="14" s="1"/>
  <c r="I79" i="14" s="1"/>
  <c r="I80" i="14" s="1"/>
  <c r="I81" i="14" s="1"/>
  <c r="I82" i="14" s="1"/>
  <c r="I83" i="14" s="1"/>
  <c r="I84" i="14" s="1"/>
  <c r="I85" i="14" s="1"/>
  <c r="I86" i="14" s="1"/>
  <c r="I87" i="14" s="1"/>
  <c r="I88" i="14" s="1"/>
  <c r="I89" i="14" s="1"/>
  <c r="I90" i="14" s="1"/>
  <c r="I91" i="14" s="1"/>
  <c r="I92" i="14" s="1"/>
  <c r="I93" i="14" s="1"/>
  <c r="I94" i="14" s="1"/>
  <c r="I95" i="14" s="1"/>
  <c r="I96" i="14" s="1"/>
  <c r="I97" i="14" s="1"/>
  <c r="I98" i="14" s="1"/>
  <c r="I99" i="14" s="1"/>
  <c r="I100" i="14" s="1"/>
  <c r="I101" i="14" s="1"/>
  <c r="I102" i="14" s="1"/>
  <c r="I103" i="14" s="1"/>
  <c r="I104" i="14" s="1"/>
  <c r="I105" i="14" s="1"/>
  <c r="I106" i="14" s="1"/>
  <c r="I107" i="14" s="1"/>
  <c r="I108" i="14" s="1"/>
  <c r="I109" i="14" s="1"/>
  <c r="I110" i="14" s="1"/>
  <c r="I111" i="14" s="1"/>
  <c r="I112" i="14" s="1"/>
  <c r="I113" i="14" s="1"/>
  <c r="I114" i="14" s="1"/>
  <c r="I115" i="14" s="1"/>
  <c r="I116" i="14" s="1"/>
  <c r="I117" i="14" s="1"/>
  <c r="I118" i="14" s="1"/>
  <c r="I119" i="14" s="1"/>
  <c r="I120" i="14" s="1"/>
  <c r="I121" i="14" s="1"/>
  <c r="I122" i="14" s="1"/>
  <c r="I123" i="14" s="1"/>
  <c r="I124" i="14" s="1"/>
  <c r="I125" i="14" s="1"/>
  <c r="I126" i="14" s="1"/>
  <c r="I127" i="14" s="1"/>
  <c r="I128" i="14" s="1"/>
  <c r="I129" i="14" s="1"/>
  <c r="I130" i="14" s="1"/>
  <c r="I131" i="14" s="1"/>
  <c r="I132" i="14" s="1"/>
  <c r="I133" i="14" s="1"/>
  <c r="I134" i="14" s="1"/>
  <c r="I135" i="14" s="1"/>
  <c r="I136" i="14" s="1"/>
  <c r="I137" i="14" s="1"/>
  <c r="I138" i="14" s="1"/>
  <c r="I139" i="14" s="1"/>
  <c r="I140" i="14" s="1"/>
  <c r="I141" i="14" s="1"/>
  <c r="I142" i="14" s="1"/>
  <c r="I143" i="14" s="1"/>
  <c r="C75" i="14"/>
  <c r="L75" i="14" s="1"/>
  <c r="C77" i="14"/>
  <c r="L77" i="14" s="1"/>
  <c r="C110" i="14"/>
  <c r="L110" i="14" s="1"/>
  <c r="E12" i="14"/>
  <c r="E13" i="14" s="1"/>
  <c r="E14" i="14" s="1"/>
  <c r="E15" i="14" s="1"/>
  <c r="E16" i="14" s="1"/>
  <c r="E17" i="14" s="1"/>
  <c r="E18" i="14" s="1"/>
  <c r="E19" i="14" s="1"/>
  <c r="E20" i="14" s="1"/>
  <c r="E21" i="14" s="1"/>
  <c r="E22" i="14" s="1"/>
  <c r="E23" i="14" s="1"/>
  <c r="E24" i="14" s="1"/>
  <c r="E25" i="14" s="1"/>
  <c r="E26" i="14" s="1"/>
  <c r="E27" i="14" s="1"/>
  <c r="E28" i="14" s="1"/>
  <c r="E29" i="14" s="1"/>
  <c r="E30" i="14" s="1"/>
  <c r="E31" i="14" s="1"/>
  <c r="E32" i="14" s="1"/>
  <c r="E33" i="14" s="1"/>
  <c r="E34" i="14" s="1"/>
  <c r="E35" i="14" s="1"/>
  <c r="C97" i="14"/>
  <c r="L97" i="14" s="1"/>
  <c r="C80" i="14"/>
  <c r="L80" i="14" s="1"/>
  <c r="C51" i="14"/>
  <c r="L51" i="14" s="1"/>
  <c r="C93" i="14"/>
  <c r="L93" i="14" s="1"/>
  <c r="C126" i="14"/>
  <c r="L126" i="14" s="1"/>
  <c r="C131" i="14"/>
  <c r="L131" i="14" s="1"/>
  <c r="C45" i="14"/>
  <c r="L45" i="14" s="1"/>
  <c r="C123" i="14"/>
  <c r="L123" i="14" s="1"/>
  <c r="C90" i="14"/>
  <c r="L90" i="14" s="1"/>
  <c r="B23" i="14"/>
  <c r="C68" i="14"/>
  <c r="L68" i="14" s="1"/>
  <c r="C58" i="14"/>
  <c r="L58" i="14" s="1"/>
  <c r="C125" i="14"/>
  <c r="L125" i="14" s="1"/>
  <c r="C42" i="14"/>
  <c r="L42" i="14" s="1"/>
  <c r="C124" i="14"/>
  <c r="L124" i="14" s="1"/>
  <c r="C87" i="14"/>
  <c r="L87" i="14" s="1"/>
  <c r="C56" i="14"/>
  <c r="L56" i="14" s="1"/>
  <c r="C100" i="14"/>
  <c r="L100" i="14" s="1"/>
  <c r="C122" i="14"/>
  <c r="L122" i="14" s="1"/>
  <c r="C118" i="14"/>
  <c r="L118" i="14" s="1"/>
  <c r="C59" i="14"/>
  <c r="L59" i="14" s="1"/>
  <c r="C61" i="14"/>
  <c r="L61" i="14" s="1"/>
  <c r="C113" i="14"/>
  <c r="L113" i="14" s="1"/>
  <c r="C109" i="14"/>
  <c r="L109" i="14" s="1"/>
  <c r="C102" i="14"/>
  <c r="L102" i="14" s="1"/>
  <c r="C70" i="14"/>
  <c r="L70" i="14" s="1"/>
  <c r="C94" i="14"/>
  <c r="L94" i="14" s="1"/>
  <c r="C53" i="14"/>
  <c r="L53" i="14" s="1"/>
  <c r="C44" i="14"/>
  <c r="L44" i="14" s="1"/>
  <c r="C52" i="14"/>
  <c r="L52" i="14" s="1"/>
  <c r="C49" i="14"/>
  <c r="L49" i="14" s="1"/>
  <c r="C105" i="14"/>
  <c r="L105" i="14" s="1"/>
  <c r="C120" i="14"/>
  <c r="C114" i="14"/>
  <c r="L114" i="14" s="1"/>
  <c r="C81" i="14"/>
  <c r="L81" i="14" s="1"/>
  <c r="C83" i="14"/>
  <c r="L83" i="14" s="1"/>
  <c r="C48" i="14"/>
  <c r="C129" i="14"/>
  <c r="L129" i="14" s="1"/>
  <c r="C46" i="14"/>
  <c r="L46" i="14" s="1"/>
  <c r="C40" i="14"/>
  <c r="L40" i="14" s="1"/>
  <c r="C98" i="14"/>
  <c r="L98" i="14" s="1"/>
  <c r="C62" i="14"/>
  <c r="L62" i="14" s="1"/>
  <c r="C107" i="14"/>
  <c r="L107" i="14" s="1"/>
  <c r="C78" i="14"/>
  <c r="L78" i="14" s="1"/>
  <c r="C86" i="14"/>
  <c r="L86" i="14" s="1"/>
  <c r="C60" i="14"/>
  <c r="B32" i="14"/>
  <c r="C54" i="14"/>
  <c r="L54" i="14" s="1"/>
  <c r="B26" i="14"/>
  <c r="C38" i="14"/>
  <c r="L38" i="14" s="1"/>
  <c r="C39" i="14"/>
  <c r="L39" i="14" s="1"/>
  <c r="B20" i="14"/>
  <c r="C115" i="14"/>
  <c r="L115" i="14" s="1"/>
  <c r="C76" i="14"/>
  <c r="L76" i="14" s="1"/>
  <c r="C111" i="14"/>
  <c r="L111" i="14" s="1"/>
  <c r="C66" i="14"/>
  <c r="L66" i="14" s="1"/>
  <c r="C50" i="14"/>
  <c r="L50" i="14" s="1"/>
  <c r="C116" i="14"/>
  <c r="L116" i="14" s="1"/>
  <c r="C119" i="14"/>
  <c r="L119" i="14" s="1"/>
  <c r="C112" i="14"/>
  <c r="L112" i="14" s="1"/>
  <c r="C73" i="14"/>
  <c r="L73" i="14" s="1"/>
  <c r="C101" i="14"/>
  <c r="L101" i="14" s="1"/>
  <c r="C63" i="14"/>
  <c r="L63" i="14" s="1"/>
  <c r="C47" i="14"/>
  <c r="L47" i="14" s="1"/>
  <c r="C128" i="14"/>
  <c r="L128" i="14" s="1"/>
  <c r="C74" i="14"/>
  <c r="L74" i="14" s="1"/>
  <c r="C79" i="14"/>
  <c r="L79" i="14" s="1"/>
  <c r="C69" i="14"/>
  <c r="L69" i="14" s="1"/>
  <c r="C71" i="14"/>
  <c r="L71" i="14" s="1"/>
  <c r="B29" i="14"/>
  <c r="C65" i="14"/>
  <c r="L65" i="14" s="1"/>
  <c r="C55" i="14"/>
  <c r="L55" i="14" s="1"/>
  <c r="C108" i="14"/>
  <c r="C130" i="14"/>
  <c r="L130" i="14" s="1"/>
  <c r="C121" i="14"/>
  <c r="L121" i="14" s="1"/>
  <c r="C84" i="14"/>
  <c r="C106" i="14"/>
  <c r="L106" i="14" s="1"/>
  <c r="C92" i="14"/>
  <c r="L92" i="14" s="1"/>
  <c r="C95" i="14"/>
  <c r="L95" i="14" s="1"/>
  <c r="C67" i="14"/>
  <c r="L67" i="14" s="1"/>
  <c r="C91" i="14"/>
  <c r="L91" i="14" s="1"/>
  <c r="C36" i="14"/>
  <c r="C41" i="14"/>
  <c r="L41" i="14" s="1"/>
  <c r="C82" i="14"/>
  <c r="L82" i="14" s="1"/>
  <c r="C72" i="14"/>
  <c r="C99" i="14"/>
  <c r="L99" i="14" s="1"/>
  <c r="C89" i="14"/>
  <c r="L89" i="14" s="1"/>
  <c r="C37" i="14"/>
  <c r="L37" i="14" s="1"/>
  <c r="C64" i="14"/>
  <c r="L64" i="14" s="1"/>
  <c r="C88" i="14"/>
  <c r="L88" i="14" s="1"/>
  <c r="C127" i="14"/>
  <c r="L127" i="14" s="1"/>
  <c r="B17" i="14"/>
  <c r="C43" i="14"/>
  <c r="L43" i="14" s="1"/>
  <c r="B35" i="14"/>
  <c r="C85" i="14"/>
  <c r="L85" i="14" s="1"/>
  <c r="B14" i="14"/>
  <c r="C104" i="14"/>
  <c r="L104" i="14" s="1"/>
  <c r="C96" i="14"/>
  <c r="C103" i="14"/>
  <c r="L103" i="14" s="1"/>
  <c r="C57" i="14"/>
  <c r="L57" i="14" s="1"/>
  <c r="C117" i="14"/>
  <c r="L117" i="14" s="1"/>
  <c r="K35" i="14" l="1"/>
  <c r="D35" i="14"/>
  <c r="J35" i="14" s="1"/>
  <c r="L36" i="14"/>
  <c r="E172" i="14"/>
  <c r="E10" i="13" s="1"/>
  <c r="C145" i="14"/>
  <c r="D29" i="14"/>
  <c r="J29" i="14" s="1"/>
  <c r="K29" i="14"/>
  <c r="K20" i="14"/>
  <c r="D20" i="14"/>
  <c r="J20" i="14" s="1"/>
  <c r="K23" i="14"/>
  <c r="D23" i="14"/>
  <c r="J23" i="14" s="1"/>
  <c r="B36" i="14"/>
  <c r="E36" i="14"/>
  <c r="L96" i="14"/>
  <c r="J172" i="14"/>
  <c r="J10" i="13" s="1"/>
  <c r="K14" i="14"/>
  <c r="D14" i="14"/>
  <c r="C171" i="14"/>
  <c r="D18" i="7" s="1"/>
  <c r="D19" i="7" s="1"/>
  <c r="K17" i="14"/>
  <c r="D17" i="14"/>
  <c r="J17" i="14" s="1"/>
  <c r="L84" i="14"/>
  <c r="I172" i="14"/>
  <c r="I10" i="13" s="1"/>
  <c r="G172" i="14"/>
  <c r="G10" i="13" s="1"/>
  <c r="L60" i="14"/>
  <c r="H172" i="14"/>
  <c r="H10" i="13" s="1"/>
  <c r="L72" i="14"/>
  <c r="L108" i="14"/>
  <c r="K172" i="14"/>
  <c r="K10" i="13" s="1"/>
  <c r="D26" i="14"/>
  <c r="K26" i="14"/>
  <c r="D171" i="14"/>
  <c r="E18" i="7" s="1"/>
  <c r="E19" i="7" s="1"/>
  <c r="D32" i="14"/>
  <c r="J32" i="14" s="1"/>
  <c r="K32" i="14"/>
  <c r="F172" i="14"/>
  <c r="F10" i="13" s="1"/>
  <c r="L48" i="14"/>
  <c r="L120" i="14"/>
  <c r="L172" i="14"/>
  <c r="L10" i="13" s="1"/>
  <c r="B13" i="8"/>
  <c r="B12" i="13"/>
  <c r="B14" i="8" s="1"/>
  <c r="E30" i="11" l="1"/>
  <c r="D7" i="13"/>
  <c r="D9" i="13"/>
  <c r="B37" i="14"/>
  <c r="E37" i="14"/>
  <c r="C7" i="13"/>
  <c r="D30" i="11"/>
  <c r="D31" i="11" s="1"/>
  <c r="D20" i="7" s="1"/>
  <c r="C9" i="13"/>
  <c r="D16" i="7"/>
  <c r="K36" i="14"/>
  <c r="D36" i="14"/>
  <c r="J26" i="14"/>
  <c r="D173" i="14"/>
  <c r="C173" i="14"/>
  <c r="J14" i="14"/>
  <c r="D21" i="7" l="1"/>
  <c r="C3" i="13" s="1"/>
  <c r="C8" i="13" s="1"/>
  <c r="C11" i="13" s="1"/>
  <c r="K37" i="14"/>
  <c r="D37" i="14"/>
  <c r="J36" i="14"/>
  <c r="D29" i="11"/>
  <c r="E15" i="7"/>
  <c r="E28" i="11" s="1"/>
  <c r="E31" i="11" s="1"/>
  <c r="E20" i="7" s="1"/>
  <c r="E21" i="7" s="1"/>
  <c r="D3" i="13" s="1"/>
  <c r="D8" i="13" s="1"/>
  <c r="D11" i="13" s="1"/>
  <c r="E38" i="14"/>
  <c r="B38" i="14"/>
  <c r="E16" i="7" l="1"/>
  <c r="E29" i="11" s="1"/>
  <c r="D13" i="8"/>
  <c r="C13" i="8"/>
  <c r="C12" i="13"/>
  <c r="C14" i="8" s="1"/>
  <c r="B39" i="14"/>
  <c r="E39" i="14"/>
  <c r="J37" i="14"/>
  <c r="D38" i="14"/>
  <c r="K38" i="14"/>
  <c r="J38" i="14" l="1"/>
  <c r="E40" i="14"/>
  <c r="B40" i="14"/>
  <c r="D12" i="13"/>
  <c r="D14" i="8" s="1"/>
  <c r="K39" i="14"/>
  <c r="D39" i="14"/>
  <c r="J39" i="14" s="1"/>
  <c r="D40" i="14" l="1"/>
  <c r="K40" i="14"/>
  <c r="E41" i="14"/>
  <c r="B41" i="14"/>
  <c r="D41" i="14" l="1"/>
  <c r="K41" i="14"/>
  <c r="E42" i="14"/>
  <c r="B42" i="14"/>
  <c r="J40" i="14"/>
  <c r="E43" i="14" l="1"/>
  <c r="B43" i="14"/>
  <c r="J41" i="14"/>
  <c r="D42" i="14"/>
  <c r="J42" i="14" s="1"/>
  <c r="K42" i="14"/>
  <c r="E44" i="14" l="1"/>
  <c r="B44" i="14"/>
  <c r="K43" i="14"/>
  <c r="D43" i="14"/>
  <c r="J43" i="14" s="1"/>
  <c r="B45" i="14" l="1"/>
  <c r="E45" i="14"/>
  <c r="D44" i="14"/>
  <c r="J44" i="14" s="1"/>
  <c r="K44" i="14"/>
  <c r="D45" i="14" l="1"/>
  <c r="J45" i="14" s="1"/>
  <c r="K45" i="14"/>
  <c r="B46" i="14"/>
  <c r="E46" i="14"/>
  <c r="K46" i="14" l="1"/>
  <c r="D46" i="14"/>
  <c r="J46" i="14" s="1"/>
  <c r="B47" i="14"/>
  <c r="E47" i="14"/>
  <c r="E171" i="14" l="1"/>
  <c r="F18" i="7" s="1"/>
  <c r="D47" i="14"/>
  <c r="K47" i="14"/>
  <c r="B48" i="14"/>
  <c r="E48" i="14"/>
  <c r="B49" i="14" l="1"/>
  <c r="E49" i="14"/>
  <c r="F19" i="7"/>
  <c r="F15" i="7"/>
  <c r="F28" i="11" s="1"/>
  <c r="K48" i="14"/>
  <c r="D48" i="14"/>
  <c r="J47" i="14"/>
  <c r="E173" i="14"/>
  <c r="E7" i="13" l="1"/>
  <c r="E9" i="13"/>
  <c r="F30" i="11"/>
  <c r="F31" i="11" s="1"/>
  <c r="F20" i="7" s="1"/>
  <c r="F21" i="7" s="1"/>
  <c r="E3" i="13" s="1"/>
  <c r="F16" i="7"/>
  <c r="D49" i="14"/>
  <c r="J49" i="14" s="1"/>
  <c r="K49" i="14"/>
  <c r="J48" i="14"/>
  <c r="B50" i="14"/>
  <c r="E50" i="14"/>
  <c r="E8" i="13" l="1"/>
  <c r="E11" i="13" s="1"/>
  <c r="E13" i="8" s="1"/>
  <c r="B51" i="14"/>
  <c r="E51" i="14"/>
  <c r="F29" i="11"/>
  <c r="D50" i="14"/>
  <c r="J50" i="14" s="1"/>
  <c r="K50" i="14"/>
  <c r="E12" i="13" l="1"/>
  <c r="E14" i="8" s="1"/>
  <c r="K51" i="14"/>
  <c r="D51" i="14"/>
  <c r="E52" i="14"/>
  <c r="B52" i="14"/>
  <c r="K52" i="14" l="1"/>
  <c r="D52" i="14"/>
  <c r="J52" i="14" s="1"/>
  <c r="B53" i="14"/>
  <c r="E53" i="14"/>
  <c r="J51" i="14"/>
  <c r="B54" i="14" l="1"/>
  <c r="E54" i="14"/>
  <c r="D53" i="14"/>
  <c r="K53" i="14"/>
  <c r="J53" i="14" l="1"/>
  <c r="K54" i="14"/>
  <c r="D54" i="14"/>
  <c r="J54" i="14" s="1"/>
  <c r="E55" i="14"/>
  <c r="B55" i="14"/>
  <c r="D55" i="14" l="1"/>
  <c r="J55" i="14" s="1"/>
  <c r="K55" i="14"/>
  <c r="B56" i="14"/>
  <c r="E56" i="14"/>
  <c r="E57" i="14" l="1"/>
  <c r="B57" i="14"/>
  <c r="D56" i="14"/>
  <c r="J56" i="14" s="1"/>
  <c r="K56" i="14"/>
  <c r="B58" i="14" l="1"/>
  <c r="E58" i="14"/>
  <c r="D57" i="14"/>
  <c r="J57" i="14" s="1"/>
  <c r="K57" i="14"/>
  <c r="K58" i="14" l="1"/>
  <c r="D58" i="14"/>
  <c r="J58" i="14" s="1"/>
  <c r="E59" i="14"/>
  <c r="B59" i="14"/>
  <c r="B60" i="14" l="1"/>
  <c r="E60" i="14"/>
  <c r="F171" i="14"/>
  <c r="G18" i="7" s="1"/>
  <c r="D59" i="14"/>
  <c r="K59" i="14"/>
  <c r="G19" i="7" l="1"/>
  <c r="G15" i="7"/>
  <c r="G28" i="11" s="1"/>
  <c r="D60" i="14"/>
  <c r="K60" i="14"/>
  <c r="J59" i="14"/>
  <c r="F173" i="14"/>
  <c r="E61" i="14"/>
  <c r="B61" i="14"/>
  <c r="B62" i="14" l="1"/>
  <c r="E62" i="14"/>
  <c r="J60" i="14"/>
  <c r="F9" i="13"/>
  <c r="G30" i="11"/>
  <c r="G31" i="11" s="1"/>
  <c r="G20" i="7" s="1"/>
  <c r="G21" i="7" s="1"/>
  <c r="F3" i="13" s="1"/>
  <c r="F7" i="13"/>
  <c r="G16" i="7"/>
  <c r="D61" i="14"/>
  <c r="J61" i="14" s="1"/>
  <c r="K61" i="14"/>
  <c r="F8" i="13" l="1"/>
  <c r="F11" i="13" s="1"/>
  <c r="F13" i="8" s="1"/>
  <c r="D62" i="14"/>
  <c r="J62" i="14" s="1"/>
  <c r="K62" i="14"/>
  <c r="G29" i="11"/>
  <c r="B63" i="14"/>
  <c r="E63" i="14"/>
  <c r="F12" i="13" l="1"/>
  <c r="F14" i="8" s="1"/>
  <c r="E64" i="14"/>
  <c r="B64" i="14"/>
  <c r="K63" i="14"/>
  <c r="D63" i="14"/>
  <c r="J63" i="14" l="1"/>
  <c r="E65" i="14"/>
  <c r="B65" i="14"/>
  <c r="D64" i="14"/>
  <c r="J64" i="14" s="1"/>
  <c r="K64" i="14"/>
  <c r="E66" i="14" l="1"/>
  <c r="B66" i="14"/>
  <c r="D65" i="14"/>
  <c r="J65" i="14" s="1"/>
  <c r="K65" i="14"/>
  <c r="E67" i="14" l="1"/>
  <c r="B67" i="14"/>
  <c r="D66" i="14"/>
  <c r="K66" i="14"/>
  <c r="J66" i="14" l="1"/>
  <c r="B68" i="14"/>
  <c r="E68" i="14"/>
  <c r="D67" i="14"/>
  <c r="J67" i="14" s="1"/>
  <c r="K67" i="14"/>
  <c r="D68" i="14" l="1"/>
  <c r="J68" i="14" s="1"/>
  <c r="K68" i="14"/>
  <c r="B69" i="14"/>
  <c r="E69" i="14"/>
  <c r="K69" i="14" l="1"/>
  <c r="D69" i="14"/>
  <c r="J69" i="14" s="1"/>
  <c r="B70" i="14"/>
  <c r="E70" i="14"/>
  <c r="K70" i="14" l="1"/>
  <c r="D70" i="14"/>
  <c r="J70" i="14" s="1"/>
  <c r="E71" i="14"/>
  <c r="B71" i="14"/>
  <c r="E72" i="14" l="1"/>
  <c r="B72" i="14"/>
  <c r="G171" i="14"/>
  <c r="H18" i="7" s="1"/>
  <c r="K71" i="14"/>
  <c r="D71" i="14"/>
  <c r="J71" i="14" l="1"/>
  <c r="G173" i="14"/>
  <c r="H19" i="7"/>
  <c r="H15" i="7"/>
  <c r="H28" i="11" s="1"/>
  <c r="E73" i="14"/>
  <c r="B73" i="14"/>
  <c r="D72" i="14"/>
  <c r="K72" i="14"/>
  <c r="J72" i="14" l="1"/>
  <c r="B74" i="14"/>
  <c r="E74" i="14"/>
  <c r="G7" i="13"/>
  <c r="G9" i="13"/>
  <c r="H30" i="11"/>
  <c r="H31" i="11" s="1"/>
  <c r="H20" i="7" s="1"/>
  <c r="H21" i="7" s="1"/>
  <c r="G3" i="13" s="1"/>
  <c r="H16" i="7"/>
  <c r="K73" i="14"/>
  <c r="D73" i="14"/>
  <c r="J73" i="14" s="1"/>
  <c r="G8" i="13" l="1"/>
  <c r="G11" i="13" s="1"/>
  <c r="G13" i="8" s="1"/>
  <c r="D74" i="14"/>
  <c r="J74" i="14" s="1"/>
  <c r="K74" i="14"/>
  <c r="H29" i="11"/>
  <c r="E75" i="14"/>
  <c r="B75" i="14"/>
  <c r="G12" i="13" l="1"/>
  <c r="G14" i="8" s="1"/>
  <c r="B76" i="14"/>
  <c r="E76" i="14"/>
  <c r="B21" i="8"/>
  <c r="E21" i="8" s="1"/>
  <c r="C21" i="8"/>
  <c r="F21" i="8" s="1"/>
  <c r="D75" i="14"/>
  <c r="K75" i="14"/>
  <c r="D76" i="14" l="1"/>
  <c r="J76" i="14" s="1"/>
  <c r="K76" i="14"/>
  <c r="J75" i="14"/>
  <c r="B77" i="14"/>
  <c r="E77" i="14"/>
  <c r="K77" i="14" l="1"/>
  <c r="D77" i="14"/>
  <c r="J77" i="14" s="1"/>
  <c r="B78" i="14"/>
  <c r="E78" i="14"/>
  <c r="K78" i="14" l="1"/>
  <c r="D78" i="14"/>
  <c r="E79" i="14"/>
  <c r="B79" i="14"/>
  <c r="K79" i="14" l="1"/>
  <c r="D79" i="14"/>
  <c r="J79" i="14" s="1"/>
  <c r="J78" i="14"/>
  <c r="E80" i="14"/>
  <c r="B80" i="14"/>
  <c r="D80" i="14" l="1"/>
  <c r="J80" i="14" s="1"/>
  <c r="K80" i="14"/>
  <c r="E81" i="14"/>
  <c r="B81" i="14"/>
  <c r="E82" i="14" l="1"/>
  <c r="B82" i="14"/>
  <c r="D81" i="14"/>
  <c r="J81" i="14" s="1"/>
  <c r="K81" i="14"/>
  <c r="B83" i="14" l="1"/>
  <c r="E83" i="14"/>
  <c r="K82" i="14"/>
  <c r="D82" i="14"/>
  <c r="J82" i="14" s="1"/>
  <c r="H171" i="14" l="1"/>
  <c r="I18" i="7" s="1"/>
  <c r="K83" i="14"/>
  <c r="D83" i="14"/>
  <c r="E84" i="14"/>
  <c r="B84" i="14"/>
  <c r="D84" i="14" l="1"/>
  <c r="K84" i="14"/>
  <c r="J83" i="14"/>
  <c r="H173" i="14"/>
  <c r="B85" i="14"/>
  <c r="E85" i="14"/>
  <c r="I19" i="7"/>
  <c r="I15" i="7"/>
  <c r="I28" i="11" s="1"/>
  <c r="I30" i="11" l="1"/>
  <c r="I31" i="11" s="1"/>
  <c r="I20" i="7" s="1"/>
  <c r="I21" i="7" s="1"/>
  <c r="H3" i="13" s="1"/>
  <c r="H7" i="13"/>
  <c r="H9" i="13"/>
  <c r="I16" i="7"/>
  <c r="D85" i="14"/>
  <c r="J85" i="14" s="1"/>
  <c r="K85" i="14"/>
  <c r="J84" i="14"/>
  <c r="E86" i="14"/>
  <c r="B86" i="14"/>
  <c r="H8" i="13" l="1"/>
  <c r="H11" i="13" s="1"/>
  <c r="H12" i="13" s="1"/>
  <c r="H14" i="8" s="1"/>
  <c r="E87" i="14"/>
  <c r="B87" i="14"/>
  <c r="I29" i="11"/>
  <c r="K86" i="14"/>
  <c r="D86" i="14"/>
  <c r="J86" i="14" s="1"/>
  <c r="H13" i="8" l="1"/>
  <c r="B88" i="14"/>
  <c r="E88" i="14"/>
  <c r="K87" i="14"/>
  <c r="D87" i="14"/>
  <c r="J87" i="14" s="1"/>
  <c r="E89" i="14" l="1"/>
  <c r="B89" i="14"/>
  <c r="K88" i="14"/>
  <c r="D88" i="14"/>
  <c r="J88" i="14" s="1"/>
  <c r="E90" i="14" l="1"/>
  <c r="B90" i="14"/>
  <c r="K89" i="14"/>
  <c r="D89" i="14"/>
  <c r="E91" i="14" l="1"/>
  <c r="B91" i="14"/>
  <c r="J89" i="14"/>
  <c r="K90" i="14"/>
  <c r="D90" i="14"/>
  <c r="J90" i="14" s="1"/>
  <c r="E92" i="14" l="1"/>
  <c r="B92" i="14"/>
  <c r="D91" i="14"/>
  <c r="J91" i="14" s="1"/>
  <c r="K91" i="14"/>
  <c r="E93" i="14" l="1"/>
  <c r="B93" i="14"/>
  <c r="D92" i="14"/>
  <c r="J92" i="14" s="1"/>
  <c r="K92" i="14"/>
  <c r="B94" i="14" l="1"/>
  <c r="E94" i="14"/>
  <c r="D93" i="14"/>
  <c r="J93" i="14" s="1"/>
  <c r="K93" i="14"/>
  <c r="D94" i="14" l="1"/>
  <c r="J94" i="14" s="1"/>
  <c r="K94" i="14"/>
  <c r="B95" i="14"/>
  <c r="E95" i="14"/>
  <c r="I171" i="14" l="1"/>
  <c r="J18" i="7" s="1"/>
  <c r="D95" i="14"/>
  <c r="K95" i="14"/>
  <c r="B96" i="14"/>
  <c r="E96" i="14"/>
  <c r="E97" i="14" l="1"/>
  <c r="B97" i="14"/>
  <c r="J19" i="7"/>
  <c r="J15" i="7"/>
  <c r="J28" i="11" s="1"/>
  <c r="K96" i="14"/>
  <c r="D96" i="14"/>
  <c r="J95" i="14"/>
  <c r="I173" i="14"/>
  <c r="J30" i="11" l="1"/>
  <c r="J31" i="11" s="1"/>
  <c r="J20" i="7" s="1"/>
  <c r="J21" i="7" s="1"/>
  <c r="I3" i="13" s="1"/>
  <c r="I7" i="13"/>
  <c r="I9" i="13"/>
  <c r="J16" i="7"/>
  <c r="B98" i="14"/>
  <c r="E98" i="14"/>
  <c r="J96" i="14"/>
  <c r="K97" i="14"/>
  <c r="D97" i="14"/>
  <c r="J97" i="14" s="1"/>
  <c r="I8" i="13" l="1"/>
  <c r="I11" i="13" s="1"/>
  <c r="I13" i="8" s="1"/>
  <c r="D98" i="14"/>
  <c r="J98" i="14" s="1"/>
  <c r="K98" i="14"/>
  <c r="B99" i="14"/>
  <c r="E99" i="14"/>
  <c r="J29" i="11"/>
  <c r="I12" i="13" l="1"/>
  <c r="I14" i="8" s="1"/>
  <c r="B100" i="14"/>
  <c r="E100" i="14"/>
  <c r="D99" i="14"/>
  <c r="K99" i="14"/>
  <c r="K100" i="14" l="1"/>
  <c r="D100" i="14"/>
  <c r="J100" i="14" s="1"/>
  <c r="J99" i="14"/>
  <c r="B101" i="14"/>
  <c r="E101" i="14"/>
  <c r="K101" i="14" l="1"/>
  <c r="D101" i="14"/>
  <c r="E102" i="14"/>
  <c r="B102" i="14"/>
  <c r="E103" i="14" l="1"/>
  <c r="B103" i="14"/>
  <c r="K102" i="14"/>
  <c r="D102" i="14"/>
  <c r="J102" i="14" s="1"/>
  <c r="J101" i="14"/>
  <c r="E104" i="14" l="1"/>
  <c r="B104" i="14"/>
  <c r="D103" i="14"/>
  <c r="K103" i="14"/>
  <c r="J103" i="14" l="1"/>
  <c r="B105" i="14"/>
  <c r="E105" i="14"/>
  <c r="D104" i="14"/>
  <c r="J104" i="14" s="1"/>
  <c r="K104" i="14"/>
  <c r="D105" i="14" l="1"/>
  <c r="J105" i="14" s="1"/>
  <c r="K105" i="14"/>
  <c r="E106" i="14"/>
  <c r="B106" i="14"/>
  <c r="B107" i="14" l="1"/>
  <c r="E107" i="14"/>
  <c r="D106" i="14"/>
  <c r="J106" i="14" s="1"/>
  <c r="K106" i="14"/>
  <c r="J171" i="14" l="1"/>
  <c r="K18" i="7" s="1"/>
  <c r="D107" i="14"/>
  <c r="K107" i="14"/>
  <c r="B108" i="14"/>
  <c r="E108" i="14"/>
  <c r="B109" i="14" l="1"/>
  <c r="E109" i="14"/>
  <c r="K19" i="7"/>
  <c r="K15" i="7"/>
  <c r="K28" i="11" s="1"/>
  <c r="D108" i="14"/>
  <c r="K108" i="14"/>
  <c r="J107" i="14"/>
  <c r="J173" i="14"/>
  <c r="J108" i="14" l="1"/>
  <c r="J9" i="13"/>
  <c r="K30" i="11"/>
  <c r="K31" i="11" s="1"/>
  <c r="K20" i="7" s="1"/>
  <c r="K21" i="7" s="1"/>
  <c r="J3" i="13" s="1"/>
  <c r="J7" i="13"/>
  <c r="K16" i="7"/>
  <c r="D109" i="14"/>
  <c r="J109" i="14" s="1"/>
  <c r="K109" i="14"/>
  <c r="B110" i="14"/>
  <c r="E110" i="14"/>
  <c r="J8" i="13" l="1"/>
  <c r="J11" i="13" s="1"/>
  <c r="J12" i="13" s="1"/>
  <c r="J14" i="8" s="1"/>
  <c r="K110" i="14"/>
  <c r="D110" i="14"/>
  <c r="J110" i="14" s="1"/>
  <c r="K29" i="11"/>
  <c r="E111" i="14"/>
  <c r="B111" i="14"/>
  <c r="J13" i="8" l="1"/>
  <c r="K111" i="14"/>
  <c r="D111" i="14"/>
  <c r="E112" i="14"/>
  <c r="B112" i="14"/>
  <c r="E113" i="14" l="1"/>
  <c r="B113" i="14"/>
  <c r="J111" i="14"/>
  <c r="D112" i="14"/>
  <c r="J112" i="14" s="1"/>
  <c r="K112" i="14"/>
  <c r="E114" i="14" l="1"/>
  <c r="B114" i="14"/>
  <c r="D113" i="14"/>
  <c r="J113" i="14" s="1"/>
  <c r="K113" i="14"/>
  <c r="E115" i="14" l="1"/>
  <c r="B115" i="14"/>
  <c r="D114" i="14"/>
  <c r="K114" i="14"/>
  <c r="J114" i="14" l="1"/>
  <c r="B116" i="14"/>
  <c r="E116" i="14"/>
  <c r="K115" i="14"/>
  <c r="D115" i="14"/>
  <c r="J115" i="14" s="1"/>
  <c r="K116" i="14" l="1"/>
  <c r="D116" i="14"/>
  <c r="J116" i="14" s="1"/>
  <c r="E117" i="14"/>
  <c r="B117" i="14"/>
  <c r="B118" i="14" l="1"/>
  <c r="E118" i="14"/>
  <c r="K117" i="14"/>
  <c r="D117" i="14"/>
  <c r="J117" i="14" s="1"/>
  <c r="K118" i="14" l="1"/>
  <c r="D118" i="14"/>
  <c r="J118" i="14" s="1"/>
  <c r="E119" i="14"/>
  <c r="B119" i="14"/>
  <c r="E120" i="14" l="1"/>
  <c r="B120" i="14"/>
  <c r="K171" i="14"/>
  <c r="L18" i="7" s="1"/>
  <c r="K119" i="14"/>
  <c r="D119" i="14"/>
  <c r="J119" i="14" l="1"/>
  <c r="K173" i="14"/>
  <c r="L19" i="7"/>
  <c r="L15" i="7"/>
  <c r="L28" i="11" s="1"/>
  <c r="B121" i="14"/>
  <c r="E121" i="14"/>
  <c r="D120" i="14"/>
  <c r="K120" i="14"/>
  <c r="J120" i="14" l="1"/>
  <c r="K121" i="14"/>
  <c r="D121" i="14"/>
  <c r="J121" i="14" s="1"/>
  <c r="L30" i="11"/>
  <c r="L31" i="11" s="1"/>
  <c r="L20" i="7" s="1"/>
  <c r="L21" i="7" s="1"/>
  <c r="K3" i="13" s="1"/>
  <c r="K7" i="13"/>
  <c r="K9" i="13"/>
  <c r="L16" i="7"/>
  <c r="E122" i="14"/>
  <c r="B122" i="14"/>
  <c r="K8" i="13" l="1"/>
  <c r="K11" i="13" s="1"/>
  <c r="K12" i="13" s="1"/>
  <c r="K14" i="8" s="1"/>
  <c r="B123" i="14"/>
  <c r="E123" i="14"/>
  <c r="D122" i="14"/>
  <c r="J122" i="14" s="1"/>
  <c r="K122" i="14"/>
  <c r="L29" i="11"/>
  <c r="K13" i="8" l="1"/>
  <c r="D123" i="14"/>
  <c r="K123" i="14"/>
  <c r="B124" i="14"/>
  <c r="E124" i="14"/>
  <c r="D124" i="14" l="1"/>
  <c r="J124" i="14" s="1"/>
  <c r="K124" i="14"/>
  <c r="J123" i="14"/>
  <c r="B125" i="14"/>
  <c r="E125" i="14"/>
  <c r="K125" i="14" l="1"/>
  <c r="D125" i="14"/>
  <c r="J125" i="14" s="1"/>
  <c r="B126" i="14"/>
  <c r="E126" i="14"/>
  <c r="K126" i="14" l="1"/>
  <c r="D126" i="14"/>
  <c r="E127" i="14"/>
  <c r="B127" i="14"/>
  <c r="E128" i="14" l="1"/>
  <c r="B128" i="14"/>
  <c r="K127" i="14"/>
  <c r="D127" i="14"/>
  <c r="J127" i="14" s="1"/>
  <c r="J126" i="14"/>
  <c r="E129" i="14" l="1"/>
  <c r="B129" i="14"/>
  <c r="D128" i="14"/>
  <c r="J128" i="14" s="1"/>
  <c r="K128" i="14"/>
  <c r="B130" i="14" l="1"/>
  <c r="E130" i="14"/>
  <c r="D129" i="14"/>
  <c r="J129" i="14" s="1"/>
  <c r="K129" i="14"/>
  <c r="K130" i="14" l="1"/>
  <c r="D130" i="14"/>
  <c r="J130" i="14" s="1"/>
  <c r="E131" i="14"/>
  <c r="B131" i="14"/>
  <c r="E132" i="14" l="1"/>
  <c r="E133" i="14" s="1"/>
  <c r="E134" i="14" s="1"/>
  <c r="E135" i="14" s="1"/>
  <c r="E136" i="14" s="1"/>
  <c r="E137" i="14" s="1"/>
  <c r="E138" i="14" s="1"/>
  <c r="E139" i="14" s="1"/>
  <c r="E140" i="14" s="1"/>
  <c r="E141" i="14" s="1"/>
  <c r="E142" i="14" s="1"/>
  <c r="E143" i="14" s="1"/>
  <c r="B132" i="14"/>
  <c r="L171" i="14"/>
  <c r="M18" i="7" s="1"/>
  <c r="D131" i="14"/>
  <c r="K131" i="14"/>
  <c r="M19" i="7" l="1"/>
  <c r="M15" i="7"/>
  <c r="M28" i="11" s="1"/>
  <c r="J131" i="14"/>
  <c r="L173" i="14"/>
  <c r="B145" i="14"/>
  <c r="K132" i="14"/>
  <c r="D132" i="14"/>
  <c r="J132" i="14" l="1"/>
  <c r="D145" i="14"/>
  <c r="M30" i="11"/>
  <c r="M31" i="11" s="1"/>
  <c r="M20" i="7" s="1"/>
  <c r="M21" i="7" s="1"/>
  <c r="L3" i="13" s="1"/>
  <c r="L7" i="13"/>
  <c r="L9" i="13"/>
  <c r="M16" i="7"/>
  <c r="L8" i="13" l="1"/>
  <c r="L11" i="13" s="1"/>
  <c r="L13" i="8" s="1"/>
  <c r="N15" i="7"/>
  <c r="N28" i="11" s="1"/>
  <c r="N31" i="11" s="1"/>
  <c r="N20" i="7" s="1"/>
  <c r="N21" i="7" s="1"/>
  <c r="M3" i="13" s="1"/>
  <c r="M8" i="13" s="1"/>
  <c r="M11" i="13" s="1"/>
  <c r="M29" i="11"/>
  <c r="L12" i="13" l="1"/>
  <c r="L14" i="8" s="1"/>
  <c r="N16" i="7"/>
  <c r="O15" i="7" s="1"/>
  <c r="O28" i="11" s="1"/>
  <c r="O31" i="11" s="1"/>
  <c r="O20" i="7" s="1"/>
  <c r="O21" i="7" s="1"/>
  <c r="N3" i="13" s="1"/>
  <c r="N8" i="13" s="1"/>
  <c r="N11" i="13" s="1"/>
  <c r="M13" i="8"/>
  <c r="C20" i="8"/>
  <c r="F20" i="8" s="1"/>
  <c r="B20" i="8"/>
  <c r="E20" i="8" s="1"/>
  <c r="M12" i="13" l="1"/>
  <c r="M14" i="8" s="1"/>
  <c r="O16" i="7"/>
  <c r="P15" i="7" s="1"/>
  <c r="P28" i="11" s="1"/>
  <c r="P31" i="11" s="1"/>
  <c r="P20" i="7" s="1"/>
  <c r="P21" i="7" s="1"/>
  <c r="O3" i="13" s="1"/>
  <c r="O8" i="13" s="1"/>
  <c r="O11" i="13" s="1"/>
  <c r="N29" i="11"/>
  <c r="N13" i="8"/>
  <c r="N12" i="13" l="1"/>
  <c r="N14" i="8" s="1"/>
  <c r="O29" i="11"/>
  <c r="P16" i="7"/>
  <c r="Q15" i="7" s="1"/>
  <c r="Q28" i="11" s="1"/>
  <c r="Q31" i="11" s="1"/>
  <c r="Q20" i="7" s="1"/>
  <c r="Q21" i="7" s="1"/>
  <c r="P3" i="13" s="1"/>
  <c r="P8" i="13" s="1"/>
  <c r="P11" i="13" s="1"/>
  <c r="O13" i="8"/>
  <c r="O12" i="13" l="1"/>
  <c r="O14" i="8" s="1"/>
  <c r="P29" i="11"/>
  <c r="Q16" i="7"/>
  <c r="R15" i="7" s="1"/>
  <c r="R28" i="11" s="1"/>
  <c r="R31" i="11" s="1"/>
  <c r="R20" i="7" s="1"/>
  <c r="R21" i="7" s="1"/>
  <c r="Q3" i="13" s="1"/>
  <c r="Q8" i="13" s="1"/>
  <c r="Q11" i="13" s="1"/>
  <c r="P13" i="8"/>
  <c r="P12" i="13" l="1"/>
  <c r="P14" i="8" s="1"/>
  <c r="Q29" i="11"/>
  <c r="R16" i="7"/>
  <c r="R29" i="11" s="1"/>
  <c r="Q13" i="8"/>
  <c r="Q12" i="13" l="1"/>
  <c r="Q14" i="8" s="1"/>
  <c r="S15" i="7"/>
  <c r="S28" i="11" s="1"/>
  <c r="S31" i="11" s="1"/>
  <c r="S20" i="7" s="1"/>
  <c r="S21" i="7" s="1"/>
  <c r="R3" i="13" s="1"/>
  <c r="R8" i="13" s="1"/>
  <c r="R11" i="13" s="1"/>
  <c r="B19" i="8"/>
  <c r="E19" i="8" s="1"/>
  <c r="C19" i="8"/>
  <c r="F19" i="8" s="1"/>
  <c r="R12" i="13" l="1"/>
  <c r="R14" i="8" s="1"/>
  <c r="S16" i="7"/>
  <c r="T15" i="7" s="1"/>
  <c r="T28" i="11" s="1"/>
  <c r="T31" i="11" s="1"/>
  <c r="T20" i="7" s="1"/>
  <c r="T21" i="7" s="1"/>
  <c r="S3" i="13" s="1"/>
  <c r="S8" i="13" s="1"/>
  <c r="S11" i="13" s="1"/>
  <c r="R13" i="8"/>
  <c r="S29" i="11" l="1"/>
  <c r="T16" i="7"/>
  <c r="T29" i="11" s="1"/>
  <c r="S13" i="8"/>
  <c r="S12" i="13"/>
  <c r="S14" i="8" s="1"/>
  <c r="U15" i="7" l="1"/>
  <c r="U28" i="11" s="1"/>
  <c r="U31" i="11" s="1"/>
  <c r="U20" i="7" s="1"/>
  <c r="U21" i="7" s="1"/>
  <c r="T3" i="13" s="1"/>
  <c r="T8" i="13" s="1"/>
  <c r="T11" i="13" s="1"/>
  <c r="T12" i="13" s="1"/>
  <c r="T14" i="8" s="1"/>
  <c r="T13" i="8" l="1"/>
  <c r="U16" i="7"/>
  <c r="V15" i="7" s="1"/>
  <c r="U29" i="11" l="1"/>
  <c r="V16" i="7"/>
  <c r="V28" i="11"/>
  <c r="V31" i="11" s="1"/>
  <c r="V20" i="7" s="1"/>
  <c r="V21" i="7" s="1"/>
  <c r="U3" i="13" s="1"/>
  <c r="U8" i="13" s="1"/>
  <c r="U11" i="13" s="1"/>
  <c r="V29" i="11" l="1"/>
  <c r="W15" i="7"/>
  <c r="U12" i="13"/>
  <c r="U14" i="8" s="1"/>
  <c r="U13" i="8"/>
  <c r="W16" i="7" l="1"/>
  <c r="W28" i="11"/>
  <c r="W31" i="11" s="1"/>
  <c r="W20" i="7" s="1"/>
  <c r="W21" i="7" s="1"/>
  <c r="V3" i="13" s="1"/>
  <c r="V8" i="13" s="1"/>
  <c r="V11" i="13" s="1"/>
  <c r="W29" i="11" l="1"/>
  <c r="X15" i="7"/>
  <c r="X28" i="11" s="1"/>
  <c r="X31" i="11" s="1"/>
  <c r="X20" i="7" s="1"/>
  <c r="X21" i="7" s="1"/>
  <c r="W3" i="13" s="1"/>
  <c r="W8" i="13" s="1"/>
  <c r="W11" i="13" s="1"/>
  <c r="V13" i="8"/>
  <c r="V12" i="13"/>
  <c r="V14" i="8" s="1"/>
  <c r="X16" i="7" l="1"/>
  <c r="Y15" i="7" s="1"/>
  <c r="Y28" i="11" s="1"/>
  <c r="Y31" i="11" s="1"/>
  <c r="Y20" i="7" s="1"/>
  <c r="Y21" i="7" s="1"/>
  <c r="X3" i="13" s="1"/>
  <c r="X8" i="13" s="1"/>
  <c r="X11" i="13" s="1"/>
  <c r="B18" i="8"/>
  <c r="E18" i="8" s="1"/>
  <c r="C18" i="8"/>
  <c r="F18" i="8" s="1"/>
  <c r="W12" i="13"/>
  <c r="W14" i="8" s="1"/>
  <c r="W13" i="8"/>
  <c r="Y16" i="7" l="1"/>
  <c r="Z15" i="7" s="1"/>
  <c r="Z28" i="11" s="1"/>
  <c r="Z31" i="11" s="1"/>
  <c r="Z20" i="7" s="1"/>
  <c r="Z21" i="7" s="1"/>
  <c r="Y3" i="13" s="1"/>
  <c r="Y8" i="13" s="1"/>
  <c r="Y11" i="13" s="1"/>
  <c r="X29" i="11"/>
  <c r="X13" i="8"/>
  <c r="X12" i="13"/>
  <c r="X14" i="8" s="1"/>
  <c r="Y29" i="11" l="1"/>
  <c r="Z16" i="7"/>
  <c r="AA15" i="7" s="1"/>
  <c r="AA28" i="11" s="1"/>
  <c r="AA31" i="11" s="1"/>
  <c r="AA20" i="7" s="1"/>
  <c r="AA21" i="7" s="1"/>
  <c r="Z3" i="13" s="1"/>
  <c r="Z8" i="13" s="1"/>
  <c r="Z11" i="13" s="1"/>
  <c r="Y13" i="8"/>
  <c r="Y12" i="13"/>
  <c r="Y14" i="8" s="1"/>
  <c r="Z29" i="11" l="1"/>
  <c r="AA16" i="7"/>
  <c r="AA29" i="11" s="1"/>
  <c r="Z12" i="13"/>
  <c r="Z14" i="8" s="1"/>
  <c r="Z13" i="8"/>
  <c r="AB15" i="7" l="1"/>
  <c r="AB28" i="11" s="1"/>
  <c r="AB31" i="11" s="1"/>
  <c r="AB20" i="7" s="1"/>
  <c r="AB21" i="7" s="1"/>
  <c r="AA3" i="13" s="1"/>
  <c r="AA8" i="13" s="1"/>
  <c r="AA11" i="13" s="1"/>
  <c r="AA13" i="8" s="1"/>
  <c r="AA12" i="13" l="1"/>
  <c r="AA14" i="8" s="1"/>
  <c r="AB16" i="7"/>
  <c r="AB29" i="11" s="1"/>
  <c r="C17" i="8"/>
  <c r="F17" i="8" s="1"/>
  <c r="B17" i="8"/>
  <c r="E17" i="8" s="1"/>
  <c r="G13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MAXIVALOR</author>
    <author>armindo.miranda</author>
  </authors>
  <commentList>
    <comment ref="E6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MAXIVALOR:</t>
        </r>
        <r>
          <rPr>
            <sz val="9"/>
            <color indexed="81"/>
            <rFont val="Tahoma"/>
            <family val="2"/>
          </rPr>
          <t xml:space="preserve">
740773 SINAPI-SE set.2018</t>
        </r>
      </text>
    </comment>
    <comment ref="E6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MAXIVALOR:</t>
        </r>
        <r>
          <rPr>
            <sz val="9"/>
            <color indexed="81"/>
            <rFont val="Tahoma"/>
            <family val="2"/>
          </rPr>
          <t xml:space="preserve">
R$27.218,27 transformador SINAPI-SE</t>
        </r>
      </text>
    </comment>
    <comment ref="E6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armindo.miranda:</t>
        </r>
        <r>
          <rPr>
            <sz val="9"/>
            <color indexed="81"/>
            <rFont val="Tahoma"/>
            <family val="2"/>
          </rPr>
          <t xml:space="preserve">
Galpão G1 - SINDUSCON SE out.2018</t>
        </r>
      </text>
    </comment>
    <comment ref="E70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armindo.miranda:</t>
        </r>
        <r>
          <rPr>
            <sz val="9"/>
            <color indexed="81"/>
            <rFont val="Tahoma"/>
            <family val="2"/>
          </rPr>
          <t xml:space="preserve">
Galpão G1 - SINDUSCON SE out.2018</t>
        </r>
      </text>
    </comment>
    <comment ref="E72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armindo.miranda:</t>
        </r>
        <r>
          <rPr>
            <sz val="9"/>
            <color indexed="81"/>
            <rFont val="Tahoma"/>
            <family val="2"/>
          </rPr>
          <t xml:space="preserve">
Galpão G1 - SINDUSCON SE out.2018</t>
        </r>
      </text>
    </comment>
    <comment ref="E73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armindo.miranda:
CSL-8 Sinduscon SE
out.2018
</t>
        </r>
      </text>
    </comment>
    <comment ref="E75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armindo.miranda:</t>
        </r>
        <r>
          <rPr>
            <sz val="9"/>
            <color indexed="81"/>
            <rFont val="Tahoma"/>
            <family val="2"/>
          </rPr>
          <t xml:space="preserve">
Galpão G1 - SINDUSCON SE out.2018</t>
        </r>
      </text>
    </comment>
    <comment ref="E76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armindo.miranda:
CSL-8 Sinduscon SE
out.2018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</author>
    <author>Tania</author>
    <author>MAXIVALOR</author>
  </authors>
  <commentList>
    <comment ref="H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INDICE
IPCA 2021
</t>
        </r>
      </text>
    </comment>
    <comment ref="B12" authorId="1" shapeId="0" xr:uid="{00000000-0006-0000-0200-000002000000}">
      <text>
        <r>
          <rPr>
            <b/>
            <sz val="9"/>
            <color indexed="81"/>
            <rFont val="Segoe UI"/>
            <family val="2"/>
          </rPr>
          <t>Tania:</t>
        </r>
        <r>
          <rPr>
            <sz val="9"/>
            <color indexed="81"/>
            <rFont val="Segoe UI"/>
            <family val="2"/>
          </rPr>
          <t xml:space="preserve">
Incluído nas despesas</t>
        </r>
      </text>
    </comment>
    <comment ref="E13" authorId="2" shapeId="0" xr:uid="{00000000-0006-0000-0200-000003000000}">
      <text>
        <r>
          <rPr>
            <b/>
            <sz val="9"/>
            <color indexed="81"/>
            <rFont val="Tahoma"/>
            <family val="2"/>
          </rPr>
          <t>MAXIVALOR:</t>
        </r>
        <r>
          <rPr>
            <sz val="9"/>
            <color indexed="81"/>
            <rFont val="Tahoma"/>
            <family val="2"/>
          </rPr>
          <t xml:space="preserve">
SINERTEC
</t>
        </r>
      </text>
    </comment>
    <comment ref="E14" authorId="2" shapeId="0" xr:uid="{00000000-0006-0000-0200-000004000000}">
      <text>
        <r>
          <rPr>
            <b/>
            <sz val="9"/>
            <color indexed="81"/>
            <rFont val="Tahoma"/>
            <family val="2"/>
          </rPr>
          <t>MAXIVALOR:</t>
        </r>
        <r>
          <rPr>
            <sz val="9"/>
            <color indexed="81"/>
            <rFont val="Tahoma"/>
            <family val="2"/>
          </rPr>
          <t xml:space="preserve">
SINERTEC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Vitor Pedreira Gonzalez</author>
  </authors>
  <commentList>
    <comment ref="C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Vitor Pedreira Gonzalez:</t>
        </r>
        <r>
          <rPr>
            <sz val="9"/>
            <color indexed="81"/>
            <rFont val="Tahoma"/>
            <family val="2"/>
          </rPr>
          <t xml:space="preserve">
Fonte</t>
        </r>
      </text>
    </comment>
    <comment ref="D10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Vitor Pedreira Gonzalez:</t>
        </r>
        <r>
          <rPr>
            <sz val="9"/>
            <color indexed="81"/>
            <rFont val="Tahoma"/>
            <family val="2"/>
          </rPr>
          <t xml:space="preserve">
REFERENTE AO TRATAMENTO/DIA E NÃO GERAÇÃO/DIA</t>
        </r>
      </text>
    </comment>
    <comment ref="E1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Vitor Pedreira Gonzalez:</t>
        </r>
        <r>
          <rPr>
            <sz val="9"/>
            <color indexed="81"/>
            <rFont val="Tahoma"/>
            <family val="2"/>
          </rPr>
          <t xml:space="preserve">
Apenas dias úteis
REVER MÉTODO</t>
        </r>
      </text>
    </comment>
    <comment ref="F1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Vitor Pedreira Gonzalez:</t>
        </r>
        <r>
          <rPr>
            <sz val="9"/>
            <color indexed="81"/>
            <rFont val="Tahoma"/>
            <family val="2"/>
          </rPr>
          <t xml:space="preserve">
Apenas dias úteis</t>
        </r>
      </text>
    </comment>
    <comment ref="G10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Vitor Pedreira Gonzalez:</t>
        </r>
        <r>
          <rPr>
            <sz val="9"/>
            <color indexed="81"/>
            <rFont val="Tahoma"/>
            <family val="2"/>
          </rPr>
          <t xml:space="preserve">
Tabela CEMPRE para ARACAJU. Atualização média IPCA (2019,2020, 2021)
18,89%
</t>
        </r>
      </text>
    </comment>
    <comment ref="G14" authorId="0" shapeId="0" xr:uid="{00000000-0006-0000-0300-000006000000}">
      <text>
        <r>
          <rPr>
            <b/>
            <sz val="9"/>
            <color rgb="FF000000"/>
            <rFont val="Tahoma"/>
            <family val="2"/>
          </rPr>
          <t>Vitor Pedreira Gonzalez: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Média Ponderada</t>
        </r>
      </text>
    </comment>
    <comment ref="G31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Vitor Pedreira Gonzalez:</t>
        </r>
        <r>
          <rPr>
            <sz val="9"/>
            <color indexed="81"/>
            <rFont val="Tahoma"/>
            <family val="2"/>
          </rPr>
          <t xml:space="preserve">
MÉDIA PONDERADA DO PREÇO DE TODOS RECICLÁVEIS</t>
        </r>
      </text>
    </comment>
    <comment ref="D43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Vitor Pedreira Gonzalez:</t>
        </r>
        <r>
          <rPr>
            <sz val="9"/>
            <color indexed="81"/>
            <rFont val="Tahoma"/>
            <family val="2"/>
          </rPr>
          <t xml:space="preserve">
Geração, não o que será processado (dias úteis)</t>
        </r>
      </text>
    </comment>
    <comment ref="D54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Vitor Pedreira Gonzalez:</t>
        </r>
        <r>
          <rPr>
            <sz val="9"/>
            <color indexed="81"/>
            <rFont val="Tahoma"/>
            <family val="2"/>
          </rPr>
          <t xml:space="preserve">
Metodologia levemente distorcida (não dividiu o anual por 12)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armindo.miranda</author>
    <author>User</author>
    <author>MAXIVALOR</author>
  </authors>
  <commentList>
    <comment ref="E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armindo.miranda:</t>
        </r>
        <r>
          <rPr>
            <sz val="9"/>
            <color indexed="81"/>
            <rFont val="Tahoma"/>
            <family val="2"/>
          </rPr>
          <t xml:space="preserve">
Grau médio - definido por  convenção sindical</t>
        </r>
      </text>
    </comment>
    <comment ref="G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armindo.miranda:</t>
        </r>
        <r>
          <rPr>
            <sz val="9"/>
            <color indexed="81"/>
            <rFont val="Tahoma"/>
            <family val="2"/>
          </rPr>
          <t xml:space="preserve">
Grau médio - definido por  convenção sindical</t>
        </r>
      </text>
    </comment>
    <comment ref="A7" authorId="1" shapeId="0" xr:uid="{00000000-0006-0000-05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Equipe para inicio de produção</t>
        </r>
      </text>
    </comment>
    <comment ref="C12" authorId="2" shapeId="0" xr:uid="{00000000-0006-0000-0500-000004000000}">
      <text>
        <r>
          <rPr>
            <b/>
            <sz val="9"/>
            <color indexed="81"/>
            <rFont val="Tahoma"/>
            <family val="2"/>
          </rPr>
          <t>MAXIVALOR:</t>
        </r>
        <r>
          <rPr>
            <sz val="9"/>
            <color indexed="81"/>
            <rFont val="Tahoma"/>
            <family val="2"/>
          </rPr>
          <t xml:space="preserve">
10% a mais do salário mínimo 2022
</t>
        </r>
      </text>
    </comment>
    <comment ref="C18" authorId="2" shapeId="0" xr:uid="{00000000-0006-0000-0500-000005000000}">
      <text>
        <r>
          <rPr>
            <b/>
            <sz val="9"/>
            <color indexed="81"/>
            <rFont val="Tahoma"/>
            <family val="2"/>
          </rPr>
          <t>MAXIVALOR:</t>
        </r>
        <r>
          <rPr>
            <sz val="9"/>
            <color indexed="81"/>
            <rFont val="Tahoma"/>
            <family val="2"/>
          </rPr>
          <t xml:space="preserve">
10% a mais do salário mínimo 2022</t>
        </r>
      </text>
    </comment>
    <comment ref="C30" authorId="2" shapeId="0" xr:uid="{00000000-0006-0000-0500-000006000000}">
      <text>
        <r>
          <rPr>
            <b/>
            <sz val="9"/>
            <color indexed="81"/>
            <rFont val="Tahoma"/>
            <family val="2"/>
          </rPr>
          <t>MAXIVALOR:</t>
        </r>
        <r>
          <rPr>
            <sz val="9"/>
            <color indexed="81"/>
            <rFont val="Tahoma"/>
            <family val="2"/>
          </rPr>
          <t xml:space="preserve">
10% a mais do salário mínimo 2019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Maicon Cunha</author>
    <author>adm</author>
    <author>Vitor Pedreira Gonzalez</author>
    <author>armindo.miranda</author>
  </authors>
  <commentList>
    <comment ref="A4" authorId="0" shapeId="0" xr:uid="{00000000-0006-0000-0700-000001000000}">
      <text>
        <r>
          <rPr>
            <b/>
            <sz val="9"/>
            <color indexed="81"/>
            <rFont val="Segoe UI"/>
            <family val="2"/>
          </rPr>
          <t>Maicon Cunha:</t>
        </r>
        <r>
          <rPr>
            <sz val="9"/>
            <color indexed="81"/>
            <rFont val="Segoe UI"/>
            <family val="2"/>
          </rPr>
          <t xml:space="preserve">
Maiores aumentos dos últimos 10 anos
</t>
        </r>
      </text>
    </comment>
    <comment ref="B5" authorId="1" shapeId="0" xr:uid="{00000000-0006-0000-0700-000002000000}">
      <text>
        <r>
          <rPr>
            <b/>
            <sz val="9"/>
            <color indexed="81"/>
            <rFont val="Tahoma"/>
            <family val="2"/>
          </rPr>
          <t xml:space="preserve">ATUALIZADO COM A MÉDIA IPCA 2020 E 2021.
7,29%
</t>
        </r>
      </text>
    </comment>
    <comment ref="A43" authorId="2" shapeId="0" xr:uid="{00000000-0006-0000-0700-000003000000}">
      <text>
        <r>
          <rPr>
            <b/>
            <sz val="9"/>
            <color indexed="81"/>
            <rFont val="Tahoma"/>
            <family val="2"/>
          </rPr>
          <t>Vitor Pedreira Gonzalez:</t>
        </r>
        <r>
          <rPr>
            <sz val="9"/>
            <color indexed="81"/>
            <rFont val="Tahoma"/>
            <family val="2"/>
          </rPr>
          <t xml:space="preserve">
SE ESTIVER LINKADA À RECEITA JÁ ESTÁ INCLUSA</t>
        </r>
      </text>
    </comment>
    <comment ref="A44" authorId="3" shapeId="0" xr:uid="{00000000-0006-0000-0700-000004000000}">
      <text>
        <r>
          <rPr>
            <b/>
            <sz val="9"/>
            <color indexed="81"/>
            <rFont val="Tahoma"/>
            <family val="2"/>
          </rPr>
          <t>armindo.miranda:</t>
        </r>
        <r>
          <rPr>
            <sz val="9"/>
            <color indexed="81"/>
            <rFont val="Tahoma"/>
            <family val="2"/>
          </rPr>
          <t xml:space="preserve">
Operação Máquinas
20 reias/ton (fonte??)
SE FOR LINKADA À RECEITA JÁ ESTÁ PREVISTA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armindo.miranda</author>
  </authors>
  <commentList>
    <comment ref="G4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armindo.miranda:</t>
        </r>
        <r>
          <rPr>
            <sz val="9"/>
            <color indexed="81"/>
            <rFont val="Tahoma"/>
            <family val="2"/>
          </rPr>
          <t xml:space="preserve">
aprox. 1,2%a.m.</t>
        </r>
      </text>
    </comment>
    <comment ref="I23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armindo.miranda:</t>
        </r>
        <r>
          <rPr>
            <sz val="9"/>
            <color indexed="81"/>
            <rFont val="Tahoma"/>
            <family val="2"/>
          </rPr>
          <t xml:space="preserve">
Capitalizado ao final de 12 meses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</authors>
  <commentList>
    <comment ref="B46" authorId="0" shapeId="0" xr:uid="{00000000-0006-0000-0C00-000001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O número que entra na estimatica do FCLE é este em azul.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Vitor Pedreira Gonzalez</author>
  </authors>
  <commentList>
    <comment ref="B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Vitor Pedreira Gonzalez:</t>
        </r>
        <r>
          <rPr>
            <sz val="9"/>
            <color indexed="81"/>
            <rFont val="Tahoma"/>
            <family val="2"/>
          </rPr>
          <t xml:space="preserve">
Tesouro Prefixado 2019 (http://www.tesouro.fazenda.gov.br/tesouro-direto-calculadora)</t>
        </r>
      </text>
    </comment>
  </commentList>
</comments>
</file>

<file path=xl/sharedStrings.xml><?xml version="1.0" encoding="utf-8"?>
<sst xmlns="http://schemas.openxmlformats.org/spreadsheetml/2006/main" count="1403" uniqueCount="776">
  <si>
    <t>Investimentos</t>
  </si>
  <si>
    <t>Sondagem</t>
  </si>
  <si>
    <t>Cercamento</t>
  </si>
  <si>
    <t>Ligação de Água e Energia</t>
  </si>
  <si>
    <t>Vigilância (período de implantação)</t>
  </si>
  <si>
    <t>SUBTOTAL</t>
  </si>
  <si>
    <t>Máquinas e Equipamentos</t>
  </si>
  <si>
    <t>Balança (40t)</t>
  </si>
  <si>
    <t>Pá Carregadeira</t>
  </si>
  <si>
    <t>Veículos</t>
  </si>
  <si>
    <t>Empilhadeira</t>
  </si>
  <si>
    <t>Retroescavadeira</t>
  </si>
  <si>
    <t>Trator de esteira</t>
  </si>
  <si>
    <t>Móveis e Utensílios</t>
  </si>
  <si>
    <t>Ar Condicionado</t>
  </si>
  <si>
    <t>Cadeiras</t>
  </si>
  <si>
    <t>Mesas</t>
  </si>
  <si>
    <t>Bebedouro</t>
  </si>
  <si>
    <t>Geladeira</t>
  </si>
  <si>
    <t>Tecnologia da Informação</t>
  </si>
  <si>
    <t>Aquisição Sistema Informática</t>
  </si>
  <si>
    <t>Computadores</t>
  </si>
  <si>
    <t>Estabilizadores</t>
  </si>
  <si>
    <t>Impressoras</t>
  </si>
  <si>
    <t>Telefones</t>
  </si>
  <si>
    <t>Estudos de Demanda</t>
  </si>
  <si>
    <t>Mobilização e Desmobilização equipe</t>
  </si>
  <si>
    <t>Divulgação</t>
  </si>
  <si>
    <t>TOTAL</t>
  </si>
  <si>
    <t>Unidade</t>
  </si>
  <si>
    <t>Total</t>
  </si>
  <si>
    <t>Geração</t>
  </si>
  <si>
    <t>Recicláveis</t>
  </si>
  <si>
    <t>Matéria Orgânica</t>
  </si>
  <si>
    <t>Rejeito Previsto</t>
  </si>
  <si>
    <t>Valor Comercial/mês</t>
  </si>
  <si>
    <t>Fonte</t>
  </si>
  <si>
    <t>Item</t>
  </si>
  <si>
    <t>Descrição</t>
  </si>
  <si>
    <t>Quantidade</t>
  </si>
  <si>
    <t>habitante</t>
  </si>
  <si>
    <t>1.1</t>
  </si>
  <si>
    <t>RSU por habitante/dia</t>
  </si>
  <si>
    <t>kg/habxdia</t>
  </si>
  <si>
    <t>1.2</t>
  </si>
  <si>
    <t>Quantidade RSU recolhido/dia</t>
  </si>
  <si>
    <t>ton/dia</t>
  </si>
  <si>
    <t>População</t>
  </si>
  <si>
    <t>PRODUÇÃO DIÁRIA DE RSU</t>
  </si>
  <si>
    <t>% No RSU</t>
  </si>
  <si>
    <t>% Comercial</t>
  </si>
  <si>
    <t>Ton/Dia</t>
  </si>
  <si>
    <t>Ton/Mês</t>
  </si>
  <si>
    <t xml:space="preserve">Descrição </t>
  </si>
  <si>
    <t>Percentual</t>
  </si>
  <si>
    <t>Produção (ton)</t>
  </si>
  <si>
    <t>Diário</t>
  </si>
  <si>
    <t>Anual</t>
  </si>
  <si>
    <t>Papel</t>
  </si>
  <si>
    <t>Papelão</t>
  </si>
  <si>
    <t>Tetra Pack</t>
  </si>
  <si>
    <t>Sub total (papel)</t>
  </si>
  <si>
    <t>Plástico filme</t>
  </si>
  <si>
    <t>Sub total (plástico)</t>
  </si>
  <si>
    <t>Material orgânico putrecível</t>
  </si>
  <si>
    <t>Folhas/podas/arbustos</t>
  </si>
  <si>
    <t>Madeira</t>
  </si>
  <si>
    <t>Resíduo de serviço de saúde</t>
  </si>
  <si>
    <t>Pano/trapo</t>
  </si>
  <si>
    <t>Sub total (orgânico)</t>
  </si>
  <si>
    <t>Sub total (metal)</t>
  </si>
  <si>
    <t>Pedra</t>
  </si>
  <si>
    <t>Louça/cerâmica</t>
  </si>
  <si>
    <t>Agregado fino (varrição)</t>
  </si>
  <si>
    <t>Vidro incolor</t>
  </si>
  <si>
    <t>Vidro colorido</t>
  </si>
  <si>
    <t>Sub total (inerte)</t>
  </si>
  <si>
    <t>Pneu</t>
  </si>
  <si>
    <t>Borracha</t>
  </si>
  <si>
    <t>Sub Total (pneu)</t>
  </si>
  <si>
    <t xml:space="preserve">Total de RSU </t>
  </si>
  <si>
    <t>Quadro I - Composição Graviométrica médio de "RSU"</t>
  </si>
  <si>
    <t>Mensal</t>
  </si>
  <si>
    <t>R$/Ton</t>
  </si>
  <si>
    <t>Receita Mensal</t>
  </si>
  <si>
    <t>Receita Anual</t>
  </si>
  <si>
    <t>Receita Diária</t>
  </si>
  <si>
    <t>Valor/ton</t>
  </si>
  <si>
    <t>PLANO DE VENDAS</t>
  </si>
  <si>
    <t>Dias do mês trabalhados</t>
  </si>
  <si>
    <t>Plano de Vendas</t>
  </si>
  <si>
    <t>Unid.</t>
  </si>
  <si>
    <t>Preço Unit.</t>
  </si>
  <si>
    <t>Produtos a vender</t>
  </si>
  <si>
    <t>Tarifa Municipal</t>
  </si>
  <si>
    <t>ton/mês</t>
  </si>
  <si>
    <t>Desconto ao cliente</t>
  </si>
  <si>
    <t>Materiais Recicláveis</t>
  </si>
  <si>
    <t>Adubo Orgânico</t>
  </si>
  <si>
    <t>Desconto da Umidade</t>
  </si>
  <si>
    <t>Total Recicláveis</t>
  </si>
  <si>
    <t>RSU POR TIPO (Ano 1)</t>
  </si>
  <si>
    <t>Pag 51 Caderno II</t>
  </si>
  <si>
    <t>Plástico</t>
  </si>
  <si>
    <t>Aço</t>
  </si>
  <si>
    <t>Alumínio</t>
  </si>
  <si>
    <t>Papel, Papelão, Tetra Pak</t>
  </si>
  <si>
    <t>Plástico Filme</t>
  </si>
  <si>
    <t>Plástico Rígido</t>
  </si>
  <si>
    <t>Percentual no BRASIL</t>
  </si>
  <si>
    <t>Vidro</t>
  </si>
  <si>
    <t>Percentual AGRESE (média ponderada)</t>
  </si>
  <si>
    <t>% Recicláveis no Brasil</t>
  </si>
  <si>
    <t>% Recicláveis AGRESE</t>
  </si>
  <si>
    <t>Divisão gravimétrica dos recicláveis</t>
  </si>
  <si>
    <t>Ano</t>
  </si>
  <si>
    <t>Geração de Materias Recicláveis</t>
  </si>
  <si>
    <t>Diária (t/dia)</t>
  </si>
  <si>
    <t>Mensal (t/mês)</t>
  </si>
  <si>
    <t xml:space="preserve">Anual </t>
  </si>
  <si>
    <t>(t/ano)</t>
  </si>
  <si>
    <t>Acumulado (t)</t>
  </si>
  <si>
    <t>Geração Total de Resíduos</t>
  </si>
  <si>
    <t>Foram considerados 365 dias úteis de coleta</t>
  </si>
  <si>
    <t>Geração de Composto orgânico</t>
  </si>
  <si>
    <t>VALOR DO ADUBO ORGANICO CONSIDERANDO TODAS PERDAS DE HUMIDADE OU IMPUREZAS</t>
  </si>
  <si>
    <t>Ja foi computado na geracao do adubo em Gravimetria</t>
  </si>
  <si>
    <t>Clientes</t>
  </si>
  <si>
    <t>Tarifa</t>
  </si>
  <si>
    <t>Inserção</t>
  </si>
  <si>
    <t>1.3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</si>
  <si>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</si>
  <si>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</si>
  <si>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</si>
  <si>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</si>
  <si>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</si>
  <si>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</si>
  <si>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</si>
  <si>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</si>
  <si>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</si>
  <si>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</si>
  <si>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</si>
  <si>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</si>
  <si>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</si>
  <si>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</si>
  <si>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</si>
  <si>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</si>
  <si>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</si>
  <si>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</si>
  <si>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</si>
  <si>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</si>
  <si>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</si>
  <si>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</si>
  <si>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</si>
  <si>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</si>
  <si>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</si>
  <si>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Quant.( ano 1)</t>
  </si>
  <si>
    <t>Receitas - Anualizado</t>
  </si>
  <si>
    <t>Receitas - Mensal</t>
  </si>
  <si>
    <t>Mês sem faturamento vai no ano 0</t>
  </si>
  <si>
    <t>DEMONSTRATIVO DE DESPESAS</t>
  </si>
  <si>
    <t>Assistente Social</t>
  </si>
  <si>
    <t>Treinamento</t>
  </si>
  <si>
    <t>SUBTOTAL  PESSOAL</t>
  </si>
  <si>
    <t>DESPESAS GERAIS</t>
  </si>
  <si>
    <t>ENERGIA</t>
  </si>
  <si>
    <t>AGUA</t>
  </si>
  <si>
    <t>TELEFONE/INTERNET</t>
  </si>
  <si>
    <t>MAT. HIG. E EXP.</t>
  </si>
  <si>
    <t>CONTABILIDADE</t>
  </si>
  <si>
    <t>JURÍDICO</t>
  </si>
  <si>
    <t>MANUT. TI</t>
  </si>
  <si>
    <t>DESLOCAMENTOS E DIARIAS</t>
  </si>
  <si>
    <t>Combustíveis de máq. e equip.</t>
  </si>
  <si>
    <t>SUBTOTAL DESPESAS</t>
  </si>
  <si>
    <t>CUSTOS DIRETOS</t>
  </si>
  <si>
    <t>SUBTOTAL DOS CUSTOS DIRETOS</t>
  </si>
  <si>
    <t>TOTAL DE CUSTOS E DESPESAS</t>
  </si>
  <si>
    <t>DESP. ANUAIS</t>
  </si>
  <si>
    <t>MENSAL (Ano 1)</t>
  </si>
  <si>
    <t>Créditos de Carbono</t>
  </si>
  <si>
    <t>REINVESTIMENTOS PREVISTOS</t>
  </si>
  <si>
    <t>Equipamento adicional</t>
  </si>
  <si>
    <t>Pessoal adicional</t>
  </si>
  <si>
    <t>Energia adicional</t>
  </si>
  <si>
    <t>CUSTOS/DESPESAS ADICIONAIS DEVIDO AO REINVESTIMENTO</t>
  </si>
  <si>
    <t>Combustíveis de máq. e equip. Adicional</t>
  </si>
  <si>
    <t>Man. operacional da usina adicional</t>
  </si>
  <si>
    <t>Operação equipamento tratamento adicional</t>
  </si>
  <si>
    <t>ANO 0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</si>
  <si>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</si>
  <si>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</si>
  <si>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</si>
  <si>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</si>
  <si>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</si>
  <si>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</si>
  <si>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</si>
  <si>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</si>
  <si>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</si>
  <si>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</si>
  <si>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RECEITAS PROJETADAS</t>
  </si>
  <si>
    <t>MATERIAL RECICLAVEL</t>
  </si>
  <si>
    <t>ADUBO ORGÂNICO</t>
  </si>
  <si>
    <t>DESPESAS OPERACIONAIS PROJETADAS</t>
  </si>
  <si>
    <t>CUSTOS OPERACIONAIS</t>
  </si>
  <si>
    <t>EBITDA</t>
  </si>
  <si>
    <t>Juros Financiamento</t>
  </si>
  <si>
    <t>Imposto de renda + CSLL</t>
  </si>
  <si>
    <t>Lucro Líquido</t>
  </si>
  <si>
    <t xml:space="preserve">Royalties 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</si>
  <si>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</si>
  <si>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</si>
  <si>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</si>
  <si>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</si>
  <si>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</si>
  <si>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</si>
  <si>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</si>
  <si>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</si>
  <si>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</si>
  <si>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</si>
  <si>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</si>
  <si>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</si>
  <si>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</si>
  <si>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</si>
  <si>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</si>
  <si>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Análise Econômica</t>
  </si>
  <si>
    <t>DADOS DO PROJETO</t>
  </si>
  <si>
    <t>Introduza aqui os dados do seu projeto:</t>
  </si>
  <si>
    <t>Ano de start-up da instalação</t>
  </si>
  <si>
    <t>Taxa mínima de atratividade do investimento</t>
  </si>
  <si>
    <t>Fluxos de caixa no final do ano</t>
  </si>
  <si>
    <t>Fluxos de caixa acumulados</t>
  </si>
  <si>
    <t>Indicadores de viabilidade</t>
  </si>
  <si>
    <t>TIR</t>
  </si>
  <si>
    <t>VPL</t>
  </si>
  <si>
    <t>ANO</t>
  </si>
  <si>
    <t>TMA</t>
  </si>
  <si>
    <t>TIR e VLP p/ 25 anos =</t>
  </si>
  <si>
    <t>TIR e VLP p/ 20 anos =</t>
  </si>
  <si>
    <t>TIR e VLP p/ 15 anos =</t>
  </si>
  <si>
    <t>TIR e VLP p/ 10 anos =</t>
  </si>
  <si>
    <t>TIR e VLP p/ 05 anos =</t>
  </si>
  <si>
    <t>Fluxo Financeiro (Acionista)</t>
  </si>
  <si>
    <t>Fonte: Cempre (http://cempre.org.br/servico/mercado)</t>
  </si>
  <si>
    <t>Quantidade de RSU tratado/dia</t>
  </si>
  <si>
    <t>ton/dia útil</t>
  </si>
  <si>
    <t>Considerando 300 dias úteis no ano</t>
  </si>
  <si>
    <t>Resíduos tratados (ton/dia útil)</t>
  </si>
  <si>
    <t>Material</t>
  </si>
  <si>
    <t>Plástico rígido</t>
  </si>
  <si>
    <t>Receitas</t>
  </si>
  <si>
    <t>Descriminação</t>
  </si>
  <si>
    <t>Preço Unitário</t>
  </si>
  <si>
    <t>Preço Total</t>
  </si>
  <si>
    <t>1.0</t>
  </si>
  <si>
    <t>Pré Implantação</t>
  </si>
  <si>
    <t>Estudos Preliminares</t>
  </si>
  <si>
    <t>1.1.1</t>
  </si>
  <si>
    <t>Levantamento Planialtimétrio</t>
  </si>
  <si>
    <t>m²</t>
  </si>
  <si>
    <t>1.1.2</t>
  </si>
  <si>
    <t>m</t>
  </si>
  <si>
    <t>1.1.3</t>
  </si>
  <si>
    <t>Georreferenciamento</t>
  </si>
  <si>
    <t>1.1.4</t>
  </si>
  <si>
    <t>Pedologia</t>
  </si>
  <si>
    <t>und</t>
  </si>
  <si>
    <t>1.1.5</t>
  </si>
  <si>
    <t>Mapa Geológico</t>
  </si>
  <si>
    <t>1.1.6</t>
  </si>
  <si>
    <t>Mapa Hidrogeológico</t>
  </si>
  <si>
    <t>1.1.7</t>
  </si>
  <si>
    <t>RCE - Roteiro de Caracterização do Empreendimento</t>
  </si>
  <si>
    <t>1.1.8</t>
  </si>
  <si>
    <t>Dimensionamento do Projeto</t>
  </si>
  <si>
    <t>1.2.1</t>
  </si>
  <si>
    <t>Layout da Unidade</t>
  </si>
  <si>
    <t>1.2.2</t>
  </si>
  <si>
    <t>Dimensionamento de Vias e Pistas de Acesso</t>
  </si>
  <si>
    <t>1.2.3</t>
  </si>
  <si>
    <t>Dimensionamento das células de disposição de rejeitos</t>
  </si>
  <si>
    <t>1.2.4</t>
  </si>
  <si>
    <t>Dimensionamento dos Equipamentos e Instalações</t>
  </si>
  <si>
    <t>1.2.5</t>
  </si>
  <si>
    <t>Levantamento e dimensionamento da rede de drenagem</t>
  </si>
  <si>
    <t>1.2.6</t>
  </si>
  <si>
    <t>Dimensionamento das redes de lixiviados</t>
  </si>
  <si>
    <t>Projetos executivos</t>
  </si>
  <si>
    <t>1.3.1</t>
  </si>
  <si>
    <t>Planta Geral da Unidade</t>
  </si>
  <si>
    <t>1.3.2</t>
  </si>
  <si>
    <t>Planta Baixa do Administrativo</t>
  </si>
  <si>
    <t>1.3.3</t>
  </si>
  <si>
    <t>Planta da Unidade de Processamento</t>
  </si>
  <si>
    <t>1.3.4</t>
  </si>
  <si>
    <t>Planta Estrutural</t>
  </si>
  <si>
    <t>1.3.5</t>
  </si>
  <si>
    <t>Planta Elétrica</t>
  </si>
  <si>
    <t>1.3.6</t>
  </si>
  <si>
    <t>Planta  das redes de Água e Esgoto</t>
  </si>
  <si>
    <t>1.3.7</t>
  </si>
  <si>
    <t>Projeto de pavimentação de pistas e acessos</t>
  </si>
  <si>
    <t>1.3.8</t>
  </si>
  <si>
    <t>Projeto de tratamento de águas residuais</t>
  </si>
  <si>
    <t>1.3.9</t>
  </si>
  <si>
    <t>Planta de Operação da unidade de Rejeitos finais</t>
  </si>
  <si>
    <t>1.3.10</t>
  </si>
  <si>
    <t>Planta do Centro Educacional</t>
  </si>
  <si>
    <t>1.3.11</t>
  </si>
  <si>
    <t>Projeto de drenagem de águas pluviais</t>
  </si>
  <si>
    <t>1.3.12</t>
  </si>
  <si>
    <t>Planta de drenagem do sistema de tratamento</t>
  </si>
  <si>
    <t>1.3.13</t>
  </si>
  <si>
    <t>Planta do Sistema de Gases e piezômetros</t>
  </si>
  <si>
    <t>1.3.14</t>
  </si>
  <si>
    <t>Projeto de poços de monitoramento</t>
  </si>
  <si>
    <t>1.3.15</t>
  </si>
  <si>
    <t>Memorial executivo</t>
  </si>
  <si>
    <t>1.3.16</t>
  </si>
  <si>
    <t>Memorial descritivo da Obra</t>
  </si>
  <si>
    <t>1.4</t>
  </si>
  <si>
    <t>Licenciamentos</t>
  </si>
  <si>
    <t>1.4.1</t>
  </si>
  <si>
    <t>Licença de localização</t>
  </si>
  <si>
    <t>1.4.2</t>
  </si>
  <si>
    <t>Licença de Implantação</t>
  </si>
  <si>
    <t>1.4.3</t>
  </si>
  <si>
    <t>Licença de Operação</t>
  </si>
  <si>
    <t>1.5</t>
  </si>
  <si>
    <t>Aquisição do Terreno</t>
  </si>
  <si>
    <t>1.5.1</t>
  </si>
  <si>
    <t>Área Rural</t>
  </si>
  <si>
    <t>2.0</t>
  </si>
  <si>
    <t>Implantação</t>
  </si>
  <si>
    <t>2.1</t>
  </si>
  <si>
    <t>Infraestrutura (Obra Civil)</t>
  </si>
  <si>
    <t>Preparo do Terreno</t>
  </si>
  <si>
    <t>Regularização e compactação subleito</t>
  </si>
  <si>
    <t>Drenagem de águas pluviais</t>
  </si>
  <si>
    <t>Drenagem do sistema de tratamento</t>
  </si>
  <si>
    <t>Sistema de Gases e piezômetros</t>
  </si>
  <si>
    <t>SINAPI-90704</t>
  </si>
  <si>
    <t>Poços de monitoramento</t>
  </si>
  <si>
    <t xml:space="preserve">Vala para disposição final </t>
  </si>
  <si>
    <t>m³</t>
  </si>
  <si>
    <t>Escritório + Vestiário + Refeitório + Portaria</t>
  </si>
  <si>
    <t xml:space="preserve">Centro Educacional </t>
  </si>
  <si>
    <t>Circulação Maq. E Equip.</t>
  </si>
  <si>
    <t>3.0</t>
  </si>
  <si>
    <t>3.1</t>
  </si>
  <si>
    <t>Central de Processamento</t>
  </si>
  <si>
    <t>3.2</t>
  </si>
  <si>
    <t>3.3</t>
  </si>
  <si>
    <t>3.4</t>
  </si>
  <si>
    <t>3.5</t>
  </si>
  <si>
    <t>4.0</t>
  </si>
  <si>
    <t>4.1</t>
  </si>
  <si>
    <t>4.2</t>
  </si>
  <si>
    <t>4.3</t>
  </si>
  <si>
    <t>4.4</t>
  </si>
  <si>
    <t>4.5</t>
  </si>
  <si>
    <t>5.0</t>
  </si>
  <si>
    <t>5.1</t>
  </si>
  <si>
    <t>5.2</t>
  </si>
  <si>
    <t>5.3</t>
  </si>
  <si>
    <t>5.4</t>
  </si>
  <si>
    <t>5.5</t>
  </si>
  <si>
    <t>6.0</t>
  </si>
  <si>
    <t>Administração para implantação do Empreendimento</t>
  </si>
  <si>
    <t>6.1</t>
  </si>
  <si>
    <t>Administração</t>
  </si>
  <si>
    <t>%</t>
  </si>
  <si>
    <t>6.2</t>
  </si>
  <si>
    <t>7.0</t>
  </si>
  <si>
    <t>Outros Investimentos</t>
  </si>
  <si>
    <t>7.1</t>
  </si>
  <si>
    <t>Contratos</t>
  </si>
  <si>
    <t>7.2</t>
  </si>
  <si>
    <t>1.6</t>
  </si>
  <si>
    <t>Reembolso da PMI</t>
  </si>
  <si>
    <t>1.6.1</t>
  </si>
  <si>
    <t xml:space="preserve">Elaboração, execução e gestão de projetos para a Instalação de Usinas de Triagem </t>
  </si>
  <si>
    <t>1.6.2</t>
  </si>
  <si>
    <t>Elaboração de estudos de gestao de sistemas de tratamento e disposição final de rejeitos provenientes do processo de triagem de RSU</t>
  </si>
  <si>
    <t>1.6.3</t>
  </si>
  <si>
    <t>Modelagem Econômico-Financeira e plano de Negócio</t>
  </si>
  <si>
    <t>1.6.4</t>
  </si>
  <si>
    <t>Modelagem Jurídico</t>
  </si>
  <si>
    <t>ref. Áreas pavimentadas</t>
  </si>
  <si>
    <t>Ponto de Abastecimento</t>
  </si>
  <si>
    <t>Oficina mecânica + lavador de veículos</t>
  </si>
  <si>
    <t>Caminhão Caçamba 8t</t>
  </si>
  <si>
    <t>Locação das Obras</t>
  </si>
  <si>
    <t>Máquinas e Equipamentos - Reinvestimento no ano 11</t>
  </si>
  <si>
    <t>1.7</t>
  </si>
  <si>
    <t>1.8</t>
  </si>
  <si>
    <t>1.9</t>
  </si>
  <si>
    <t>2.2</t>
  </si>
  <si>
    <t>2.3</t>
  </si>
  <si>
    <t>2.4</t>
  </si>
  <si>
    <t>2.5</t>
  </si>
  <si>
    <t>2.6</t>
  </si>
  <si>
    <t xml:space="preserve">Infraestrutura </t>
  </si>
  <si>
    <t>Gases</t>
  </si>
  <si>
    <t>Lençol freático (1 análise/trimestre durante 20 anos)</t>
  </si>
  <si>
    <t>um</t>
  </si>
  <si>
    <t>Regularização e compactação</t>
  </si>
  <si>
    <t>Plantil de grama nos taludes e bermas</t>
  </si>
  <si>
    <t>Monitoramento - ocorre ao longo da operação + 20 anos após operação</t>
  </si>
  <si>
    <t>Manutenção Máquinas e equipamento</t>
  </si>
  <si>
    <t>Implantação de Novas Células para Rejeito final -Ano 11</t>
  </si>
  <si>
    <t>z</t>
  </si>
  <si>
    <t>Inflação Média últimos 10 anos (IPCA)</t>
  </si>
  <si>
    <t>Impostos diretos sobre produtos</t>
  </si>
  <si>
    <t>ICMS</t>
  </si>
  <si>
    <t>PIS</t>
  </si>
  <si>
    <t>COFINS</t>
  </si>
  <si>
    <t>Impostos diretos sobre servico</t>
  </si>
  <si>
    <t>ISS</t>
  </si>
  <si>
    <t>Impostos sobre lucro líquido</t>
  </si>
  <si>
    <t>IRPJ (Até 20.000)</t>
  </si>
  <si>
    <t>IRPJ (Parcela superior a 20.000)</t>
  </si>
  <si>
    <t>CSLL</t>
  </si>
  <si>
    <t>Aquisições de Mercadorias para revenda, exceto se as mesmas forem sujeitas a Incidência Monofásica, Alíquota Zero ou Substituição Tributárias;</t>
  </si>
  <si>
    <t>Aquisições de Insumos para serem utilizados na fabricação de produtos;</t>
  </si>
  <si>
    <t>Aluguéis de prédios máquinas e equipamentos, utilizados na atividade da empresa, pagos à pessoas jurídicas; (Inc. IV, art. 3º, Lei 10.637);</t>
  </si>
  <si>
    <t>Energia Elétrica consumida nos estabelecimentos da empresa (inciso IX, art. 3º, Lei 10.637);</t>
  </si>
  <si>
    <t>Custo de Armazenagem de Mercadorias;</t>
  </si>
  <si>
    <t>Frete CIF Saídas (Art.15, da Lei 10.833);</t>
  </si>
  <si>
    <t>Frete FOB nas Compras de Mercadorias (Art.15, da Lei 10.833);</t>
  </si>
  <si>
    <t>Depreciação de edificações e benfeitorias em imóveis próprios ou de terceiros, utilizados nas atividades da empresa;</t>
  </si>
  <si>
    <t>Os créditos (PIS E COFINS) são admitidos para as seguintes situações:</t>
  </si>
  <si>
    <t>Fluxo de Caixa Operacional</t>
  </si>
  <si>
    <t>Fluxo de Caixa Livre</t>
  </si>
  <si>
    <t>Investimento</t>
  </si>
  <si>
    <t>Capital de Giro</t>
  </si>
  <si>
    <t>Amortização Financiamento</t>
  </si>
  <si>
    <t>Taxa de depreciação</t>
  </si>
  <si>
    <t>Vida útil (anos)</t>
  </si>
  <si>
    <t>Infraestrutura</t>
  </si>
  <si>
    <t>Máquinas, móveis, utensílios, IT</t>
  </si>
  <si>
    <t>Tecnologia da Informação - reeinvestimento Ano 11</t>
  </si>
  <si>
    <t>Móveis e Utensílios - reinvestimento Ano 11</t>
  </si>
  <si>
    <t>Reinvestimento em Infraestrutura</t>
  </si>
  <si>
    <t>IPCA</t>
  </si>
  <si>
    <t>Preço C/Inflação</t>
  </si>
  <si>
    <t>Reinvestimento em máquinas, móveis, utensílios, IT</t>
  </si>
  <si>
    <t>Depreciação</t>
  </si>
  <si>
    <t>Exposição de Caixa</t>
  </si>
  <si>
    <t>Juros Financiamento - IR sobre juros</t>
  </si>
  <si>
    <t>Impostos diretos sobre serviços</t>
  </si>
  <si>
    <t>Encerramento da Operação - Ano 11 e Ano 25</t>
  </si>
  <si>
    <t>Preço C/Inflação (Ano 11)</t>
  </si>
  <si>
    <t>Preço C/Inflação (Ano 25)</t>
  </si>
  <si>
    <t>Monitoramento do Aterro</t>
  </si>
  <si>
    <t>Perda por eficiência</t>
  </si>
  <si>
    <t>CDR</t>
  </si>
  <si>
    <t>Prejuízo acumulado utilizável no exercício</t>
  </si>
  <si>
    <t>Lucro (Prejuízo) acumulado</t>
  </si>
  <si>
    <t>Prejuízo acumulado para cálculo de IR</t>
  </si>
  <si>
    <t>EBIT</t>
  </si>
  <si>
    <t>EBT</t>
  </si>
  <si>
    <t>Créditos para ICMS</t>
  </si>
  <si>
    <t>Créditos para PIS</t>
  </si>
  <si>
    <t>Créditos Para COFINS</t>
  </si>
  <si>
    <t>Valor ICMS</t>
  </si>
  <si>
    <t>Valor PIS</t>
  </si>
  <si>
    <t>Valor COFINS</t>
  </si>
  <si>
    <t>Total Impostos diretos sobre produtos</t>
  </si>
  <si>
    <t>Valor ISS</t>
  </si>
  <si>
    <t>Total Impostos diretos sobre serviços</t>
  </si>
  <si>
    <t>Total impostos diretos</t>
  </si>
  <si>
    <t>Impostos diretos</t>
  </si>
  <si>
    <t>DRE</t>
  </si>
  <si>
    <t>FLUXO DE CAIXA</t>
  </si>
  <si>
    <t>Parcela Amortização</t>
  </si>
  <si>
    <t>Parcela Juros</t>
  </si>
  <si>
    <t>Parcela total</t>
  </si>
  <si>
    <t>Saldo Acumulado</t>
  </si>
  <si>
    <t>Parcela</t>
  </si>
  <si>
    <t>Amortização do Principal</t>
  </si>
  <si>
    <t>Juros</t>
  </si>
  <si>
    <t>Sócios</t>
  </si>
  <si>
    <t>BNB</t>
  </si>
  <si>
    <t>Meses</t>
  </si>
  <si>
    <t>ELEMENTOS DE DESPESAS DO INVESTIMENTO</t>
  </si>
  <si>
    <t>Financiamento</t>
  </si>
  <si>
    <t>Remuneração</t>
  </si>
  <si>
    <t>Prazo total</t>
  </si>
  <si>
    <t>Valor</t>
  </si>
  <si>
    <t>Carência</t>
  </si>
  <si>
    <t>FORMAS DE FINANCIAMENTO</t>
  </si>
  <si>
    <t>Amortização</t>
  </si>
  <si>
    <t xml:space="preserve">Dias </t>
  </si>
  <si>
    <t>Receita Líquida</t>
  </si>
  <si>
    <t>Custos + Despesas</t>
  </si>
  <si>
    <t>Dias de Receita (PMR)</t>
  </si>
  <si>
    <t>Dias de COGS (PME)</t>
  </si>
  <si>
    <t>Dias de COGS (PMR)</t>
  </si>
  <si>
    <t>Capital de Giro - Ativo Circulante</t>
  </si>
  <si>
    <t>Var. KG</t>
  </si>
  <si>
    <t>Dias de COGS (PMP)</t>
  </si>
  <si>
    <t>Capital de Giro - Passivo Circulante</t>
  </si>
  <si>
    <t>x</t>
  </si>
  <si>
    <t>Necessidade de Investimento em Giro</t>
  </si>
  <si>
    <t>Variação das NIG</t>
  </si>
  <si>
    <t>Serviço de Resíduos</t>
  </si>
  <si>
    <t>AGRESE</t>
  </si>
  <si>
    <t>Fontes:</t>
  </si>
  <si>
    <r>
      <t>Custo do Capital Próprio (K</t>
    </r>
    <r>
      <rPr>
        <b/>
        <vertAlign val="subscript"/>
        <sz val="10"/>
        <color theme="0"/>
        <rFont val="Arial Narrow"/>
        <family val="2"/>
      </rPr>
      <t>E</t>
    </r>
    <r>
      <rPr>
        <b/>
        <sz val="10"/>
        <color theme="0"/>
        <rFont val="Arial Narrow"/>
        <family val="2"/>
      </rPr>
      <t>) - em %aa</t>
    </r>
  </si>
  <si>
    <t>(1) https://www.treasury.gov/resource-center/data-chart-center/interest-rates/Pages/TextView.aspx?data=yieldYear&amp;year=2018. Taxa em 26/11/2018</t>
  </si>
  <si>
    <r>
      <t xml:space="preserve">Taxa Livre de Risco </t>
    </r>
    <r>
      <rPr>
        <vertAlign val="superscript"/>
        <sz val="10"/>
        <color theme="1"/>
        <rFont val="Arial Narrow"/>
        <family val="2"/>
      </rPr>
      <t>(1)</t>
    </r>
  </si>
  <si>
    <t>(2) http://www.portalbrasil.net/2018/indices/dolar_riscopais_novembro.htm - Risco país em 26/11/2018</t>
  </si>
  <si>
    <r>
      <t xml:space="preserve">Prêmio de Risco de Mercado </t>
    </r>
    <r>
      <rPr>
        <vertAlign val="superscript"/>
        <sz val="10"/>
        <color theme="1"/>
        <rFont val="Arial Narrow"/>
        <family val="2"/>
      </rPr>
      <t>(3)</t>
    </r>
  </si>
  <si>
    <t>(3) 2014 Ibbotson SBBI Market Report</t>
  </si>
  <si>
    <r>
      <t xml:space="preserve">Prêmio de Risco pelo Tamanho </t>
    </r>
    <r>
      <rPr>
        <vertAlign val="superscript"/>
        <sz val="10"/>
        <color theme="1"/>
        <rFont val="Arial Narrow"/>
        <family val="2"/>
      </rPr>
      <t>(4)</t>
    </r>
  </si>
  <si>
    <t>(4) 2011 Ibbotson Risk Premia Over Time Report: Estimates for 1926-2010. Morningstar, 2011. Considerando prêmio de risco para o segmento 10z, com ROB entre USD1.222mm e USD85.670mm</t>
  </si>
  <si>
    <r>
      <t xml:space="preserve">Beta Desalavancado </t>
    </r>
    <r>
      <rPr>
        <vertAlign val="superscript"/>
        <sz val="10"/>
        <color theme="1"/>
        <rFont val="Arial Narrow"/>
        <family val="2"/>
      </rPr>
      <t>(5)</t>
    </r>
  </si>
  <si>
    <t>(5) http://pages.stern.nyu.edu/~adamodar/ - Total beta by sector</t>
  </si>
  <si>
    <t>Alíquota Efetiva de Tributos sobre a Renda</t>
  </si>
  <si>
    <t>(6) https://www.itau.com.br/itaubba-pt/analises-economicas/projecoes/longo-prazo-novembro-2018</t>
  </si>
  <si>
    <t>(7) https://www.itau.com.br/itaubba-pt/analises-economicas/projecoes/longo-prazo-novembro-2018 - Projeção para 2019</t>
  </si>
  <si>
    <t>Beta Alavancado</t>
  </si>
  <si>
    <t>(8) Estimativa própria</t>
  </si>
  <si>
    <r>
      <t>K</t>
    </r>
    <r>
      <rPr>
        <b/>
        <vertAlign val="subscript"/>
        <sz val="10"/>
        <color theme="1"/>
        <rFont val="Arial Narrow"/>
        <family val="2"/>
      </rPr>
      <t>E</t>
    </r>
    <r>
      <rPr>
        <b/>
        <sz val="10"/>
        <color theme="1"/>
        <rFont val="Arial Narrow"/>
        <family val="2"/>
      </rPr>
      <t>, USD nominais</t>
    </r>
  </si>
  <si>
    <t>(9) Alíquota marginal para empresas submetidas ao regime de lucro real</t>
  </si>
  <si>
    <r>
      <t xml:space="preserve">Prêmio de Risco País </t>
    </r>
    <r>
      <rPr>
        <vertAlign val="superscript"/>
        <sz val="10"/>
        <color theme="1"/>
        <rFont val="Arial Narrow"/>
        <family val="2"/>
      </rPr>
      <t>(2)</t>
    </r>
  </si>
  <si>
    <r>
      <t>K</t>
    </r>
    <r>
      <rPr>
        <b/>
        <vertAlign val="subscript"/>
        <sz val="10"/>
        <color theme="1"/>
        <rFont val="Arial Narrow"/>
        <family val="2"/>
      </rPr>
      <t>E</t>
    </r>
    <r>
      <rPr>
        <b/>
        <sz val="10"/>
        <color theme="1"/>
        <rFont val="Arial Narrow"/>
        <family val="2"/>
      </rPr>
      <t>, USD nominais ajustado Brasil</t>
    </r>
  </si>
  <si>
    <r>
      <t xml:space="preserve">Inflação EUA (CPI) </t>
    </r>
    <r>
      <rPr>
        <vertAlign val="superscript"/>
        <sz val="10"/>
        <color theme="1"/>
        <rFont val="Arial Narrow"/>
        <family val="2"/>
      </rPr>
      <t>(6)</t>
    </r>
  </si>
  <si>
    <r>
      <t xml:space="preserve">Inflação Brasil (IPC-A) </t>
    </r>
    <r>
      <rPr>
        <vertAlign val="superscript"/>
        <sz val="10"/>
        <color theme="1"/>
        <rFont val="Arial Narrow"/>
        <family val="2"/>
      </rPr>
      <t>(7)</t>
    </r>
  </si>
  <si>
    <r>
      <t>K</t>
    </r>
    <r>
      <rPr>
        <b/>
        <vertAlign val="subscript"/>
        <sz val="10"/>
        <color theme="1"/>
        <rFont val="Arial Narrow"/>
        <family val="2"/>
      </rPr>
      <t>E</t>
    </r>
    <r>
      <rPr>
        <b/>
        <sz val="10"/>
        <color theme="1"/>
        <rFont val="Arial Narrow"/>
        <family val="2"/>
      </rPr>
      <t>, R$ nominais</t>
    </r>
  </si>
  <si>
    <r>
      <t>Custo da Dívida (K</t>
    </r>
    <r>
      <rPr>
        <b/>
        <vertAlign val="subscript"/>
        <sz val="10"/>
        <color theme="0"/>
        <rFont val="Arial Narrow"/>
        <family val="2"/>
      </rPr>
      <t>D</t>
    </r>
    <r>
      <rPr>
        <b/>
        <sz val="10"/>
        <color theme="0"/>
        <rFont val="Arial Narrow"/>
        <family val="2"/>
      </rPr>
      <t>) - em %aa</t>
    </r>
  </si>
  <si>
    <r>
      <t>K</t>
    </r>
    <r>
      <rPr>
        <vertAlign val="subscript"/>
        <sz val="10"/>
        <color theme="1"/>
        <rFont val="Arial Narrow"/>
        <family val="2"/>
      </rPr>
      <t>D</t>
    </r>
    <r>
      <rPr>
        <sz val="10"/>
        <color theme="1"/>
        <rFont val="Arial Narrow"/>
        <family val="2"/>
      </rPr>
      <t xml:space="preserve"> R$ </t>
    </r>
    <r>
      <rPr>
        <vertAlign val="superscript"/>
        <sz val="10"/>
        <color theme="1"/>
        <rFont val="Arial Narrow"/>
        <family val="2"/>
      </rPr>
      <t>(8)</t>
    </r>
  </si>
  <si>
    <r>
      <t xml:space="preserve">Alíquota Efetiva de IR </t>
    </r>
    <r>
      <rPr>
        <vertAlign val="superscript"/>
        <sz val="10"/>
        <color theme="1"/>
        <rFont val="Arial Narrow"/>
        <family val="2"/>
      </rPr>
      <t>(9)</t>
    </r>
  </si>
  <si>
    <r>
      <t>K</t>
    </r>
    <r>
      <rPr>
        <b/>
        <vertAlign val="subscript"/>
        <sz val="10"/>
        <color theme="1"/>
        <rFont val="Arial Narrow"/>
        <family val="2"/>
      </rPr>
      <t>D</t>
    </r>
    <r>
      <rPr>
        <b/>
        <sz val="10"/>
        <color theme="1"/>
        <rFont val="Arial Narrow"/>
        <family val="2"/>
      </rPr>
      <t>, R$ nominais</t>
    </r>
  </si>
  <si>
    <t>Custo Médio Ponderado de Capital (WACC) - em %aa</t>
  </si>
  <si>
    <t xml:space="preserve">Participação de Dívida - D/(D+E) </t>
  </si>
  <si>
    <t>Participação de Equity - E/(D+E)</t>
  </si>
  <si>
    <t>WACC, R$ nominais ajustado Brasil</t>
  </si>
  <si>
    <t>Receita de produtos</t>
  </si>
  <si>
    <t>Receita de serviços</t>
  </si>
  <si>
    <t>Valor Investimento</t>
  </si>
  <si>
    <t>Central de Triagem / ETE</t>
  </si>
  <si>
    <t>Central de Processamento de RCC</t>
  </si>
  <si>
    <t>BobCat</t>
  </si>
  <si>
    <t>4.6</t>
  </si>
  <si>
    <t>Sistema de Rádio Comunicação</t>
  </si>
  <si>
    <t>5.6</t>
  </si>
  <si>
    <t>Sistema de Monitoramento On line (CFTV)</t>
  </si>
  <si>
    <t>TAXA DE LEIS SOCIAIS E RISCOS DO TRABALHO (%)</t>
  </si>
  <si>
    <t>HORISTAS</t>
  </si>
  <si>
    <t>A1</t>
  </si>
  <si>
    <t>Previdência Social</t>
  </si>
  <si>
    <t>A2</t>
  </si>
  <si>
    <t>Fundo de Garantia por Tempo de Serviço</t>
  </si>
  <si>
    <t>A3</t>
  </si>
  <si>
    <t>Salário Educação</t>
  </si>
  <si>
    <t>A4</t>
  </si>
  <si>
    <t>Serviço Social da Indústria (Sesi)</t>
  </si>
  <si>
    <t>A5</t>
  </si>
  <si>
    <t>Serviço Nacional de Aprendizagem Industrial (Senai)</t>
  </si>
  <si>
    <t>A6</t>
  </si>
  <si>
    <t>Serviço de Apoio a Pequena e Média Empresa (Sebrae)</t>
  </si>
  <si>
    <t>A7</t>
  </si>
  <si>
    <t>Instituto Nacional de Colonização e Reforma Agrária (Incra)</t>
  </si>
  <si>
    <t>A8</t>
  </si>
  <si>
    <t>Seguro Contra os Acidentes de Trabalho (INSS)</t>
  </si>
  <si>
    <t>A9</t>
  </si>
  <si>
    <t xml:space="preserve">Seconci - Serviço Social da Construção Civil do Estado de São Paulo (aplicável a todas as empresas conatantes do III grupo da CLT - art.577) </t>
  </si>
  <si>
    <t>A</t>
  </si>
  <si>
    <t>Total dos Encargos Sociais Básicos</t>
  </si>
  <si>
    <t>B1</t>
  </si>
  <si>
    <t>Repouso Semanal e Feriados</t>
  </si>
  <si>
    <t>B2</t>
  </si>
  <si>
    <t>Auxílio-Enfermidade (*)</t>
  </si>
  <si>
    <t>B3</t>
  </si>
  <si>
    <t>Licença Paternidade (*)</t>
  </si>
  <si>
    <t>B4</t>
  </si>
  <si>
    <t>13º Salário</t>
  </si>
  <si>
    <t>B5</t>
  </si>
  <si>
    <t>FGTS sobre 13º</t>
  </si>
  <si>
    <t>B</t>
  </si>
  <si>
    <t>Total dos Encargos Sociais que Recebem a Incidência de A</t>
  </si>
  <si>
    <t>C1</t>
  </si>
  <si>
    <t>Depósito por Despedida Injusta 50% sobre [A2 + (A2 x B)]</t>
  </si>
  <si>
    <t>C2</t>
  </si>
  <si>
    <t>Férias (Indenizadas)</t>
  </si>
  <si>
    <t>C3</t>
  </si>
  <si>
    <t>Aviso Prévio (Indenizado) (***) (*)</t>
  </si>
  <si>
    <t>C</t>
  </si>
  <si>
    <t>Total dos Encargos Sociais que Não Recebem as Incidências Globais de A</t>
  </si>
  <si>
    <t>D1</t>
  </si>
  <si>
    <t>Reincidência de A sobre B</t>
  </si>
  <si>
    <t>D2</t>
  </si>
  <si>
    <t>Reincidência de (A-A9) sobre C3</t>
  </si>
  <si>
    <t>D</t>
  </si>
  <si>
    <t>Total das taxas de Reincidências</t>
  </si>
  <si>
    <t>Total de Encargos Sociais</t>
  </si>
  <si>
    <t>ENCARGOS SOCIAIS - PESSOAL DE VENDAS</t>
  </si>
  <si>
    <t>Dias de Chuva/faltas justificadas na obra/outras dificuldades/acidentes de trabalho/greves/falta ou atraso na entrega de materiais ou serviços (*)</t>
  </si>
  <si>
    <t>Depósito por Despedida Injusta 45% sobre [A2 + (A2 x B)]</t>
  </si>
  <si>
    <t>2.7</t>
  </si>
  <si>
    <t>2.8</t>
  </si>
  <si>
    <t xml:space="preserve">PESSOAL </t>
  </si>
  <si>
    <t>BENEFÍCIOS + Encargos trabalhistas</t>
  </si>
  <si>
    <t>Refeição/func/dia</t>
  </si>
  <si>
    <t>Transporte/func/dia abater 6%</t>
  </si>
  <si>
    <t>Fardamento / EPI</t>
  </si>
  <si>
    <t>Adicional noturno</t>
  </si>
  <si>
    <t>Encargos Trabalhistas</t>
  </si>
  <si>
    <t>Insalubridade</t>
  </si>
  <si>
    <t>Dias trabalhados no mês</t>
  </si>
  <si>
    <t>Operação</t>
  </si>
  <si>
    <t>Quant.</t>
  </si>
  <si>
    <t>Encargos</t>
  </si>
  <si>
    <t>Custo Mensal</t>
  </si>
  <si>
    <t>Custo Anual</t>
  </si>
  <si>
    <t>observações</t>
  </si>
  <si>
    <t>Engº Ambiental</t>
  </si>
  <si>
    <t>Encarregado Operação e máquinas</t>
  </si>
  <si>
    <t xml:space="preserve">Recepção e Expedição de Produtos (balança + portaria) </t>
  </si>
  <si>
    <t>Auxiliar de Serviços Gerais</t>
  </si>
  <si>
    <t>Operadores e Ajudantes</t>
  </si>
  <si>
    <t>Eletromecânico</t>
  </si>
  <si>
    <t>Operador de Máquinas</t>
  </si>
  <si>
    <t>Mecânico</t>
  </si>
  <si>
    <t>Auxiliar de mecânico</t>
  </si>
  <si>
    <t>Técnico de Controle Operacional</t>
  </si>
  <si>
    <t>Almoxarife/ferramenteiro</t>
  </si>
  <si>
    <t>Subtotal</t>
  </si>
  <si>
    <t>Comercial</t>
  </si>
  <si>
    <t xml:space="preserve"> ADMINISTRAÇÃO </t>
  </si>
  <si>
    <t xml:space="preserve"> Quant. </t>
  </si>
  <si>
    <t xml:space="preserve"> Remuneração </t>
  </si>
  <si>
    <t xml:space="preserve"> Encargos </t>
  </si>
  <si>
    <t xml:space="preserve"> Custo Mensal </t>
  </si>
  <si>
    <t xml:space="preserve"> Custo Anual </t>
  </si>
  <si>
    <t>Gerente Geral</t>
  </si>
  <si>
    <t>Contas a Pagar e a Receber</t>
  </si>
  <si>
    <t>Controles</t>
  </si>
  <si>
    <t>Vigilância</t>
  </si>
  <si>
    <t>Motorista</t>
  </si>
  <si>
    <t xml:space="preserve"> Total </t>
  </si>
  <si>
    <t>vigência</t>
  </si>
  <si>
    <t>valor</t>
  </si>
  <si>
    <t>ano</t>
  </si>
  <si>
    <t>QUADRO DE PESSOAL E SUA LOCAÇÃO</t>
  </si>
  <si>
    <t>Horas/dia</t>
  </si>
  <si>
    <t>Acesso e Segurança</t>
  </si>
  <si>
    <t>Portaria</t>
  </si>
  <si>
    <t>Balança</t>
  </si>
  <si>
    <t>Administrativo</t>
  </si>
  <si>
    <t>Contas a Pagar</t>
  </si>
  <si>
    <t>Contas a Receber</t>
  </si>
  <si>
    <t>Contratos e Controles</t>
  </si>
  <si>
    <t>Auxiliar Serviços Gerais</t>
  </si>
  <si>
    <t>Aumoxarife/ferramenteiro</t>
  </si>
  <si>
    <t>Operação de Materiais na Central de Triagem- Por turno</t>
  </si>
  <si>
    <t>Encarregado da Operação</t>
  </si>
  <si>
    <t>Pré Triagem - Por turno</t>
  </si>
  <si>
    <t>Operadores</t>
  </si>
  <si>
    <t>Saída de Rejeitos - Por turno</t>
  </si>
  <si>
    <t>Saída de Recicláveis - Por turno</t>
  </si>
  <si>
    <t>Operadores - Seleção</t>
  </si>
  <si>
    <t>Operadores - Transporte Material Selecionado</t>
  </si>
  <si>
    <t>Operador - Prensa</t>
  </si>
  <si>
    <t>Auxiliar de Limpeza</t>
  </si>
  <si>
    <t>Operação de Máquinas - central de Triagem</t>
  </si>
  <si>
    <t>Encarregado de Máquinas</t>
  </si>
  <si>
    <t>Pá Carregadeira (1)</t>
  </si>
  <si>
    <t>Bob Cat (2)</t>
  </si>
  <si>
    <t>Empilhadeira (1)</t>
  </si>
  <si>
    <t>Caminhão Basculante (1)</t>
  </si>
  <si>
    <t>Auxiliar de Mecânico</t>
  </si>
  <si>
    <t>Operação Compostagem</t>
  </si>
  <si>
    <t>Ajudantes operacionais - Processamento</t>
  </si>
  <si>
    <t>Operação de Aterro - Rejeitos</t>
  </si>
  <si>
    <t>Trator Esteira (1)</t>
  </si>
  <si>
    <t>Retroescavadeira (1)</t>
  </si>
  <si>
    <t>Controle Ambiental</t>
  </si>
  <si>
    <t>Técnico de controle resultados</t>
  </si>
  <si>
    <t>Operação de RCC</t>
  </si>
  <si>
    <t>Motorista Caminhão / Operador da Central</t>
  </si>
  <si>
    <t>Aumento dos salários</t>
  </si>
  <si>
    <t>SEGURANÇA/Monitoramento</t>
  </si>
  <si>
    <t xml:space="preserve">Man. operacional da USINA </t>
  </si>
  <si>
    <t>Geração de RCC</t>
  </si>
  <si>
    <t>RCC</t>
  </si>
  <si>
    <t>ton/ano</t>
  </si>
  <si>
    <t>-</t>
  </si>
  <si>
    <t>RECEITA Tarifa RCC</t>
  </si>
  <si>
    <t>RECEITA Tarifa RSU/TONELADA</t>
  </si>
  <si>
    <t>Utilidades</t>
  </si>
  <si>
    <t>Prensa (material reciclado)</t>
  </si>
  <si>
    <t>Operadores - RCC</t>
  </si>
  <si>
    <t>Moega e Peneira rotativa (Tromel malha 10 mm) Móvel/Roll-on Roll-off</t>
  </si>
  <si>
    <t>Trator de pneu</t>
  </si>
  <si>
    <t>Triturador Florestal (150 mm) Lippel PDX 150 HD</t>
  </si>
  <si>
    <t xml:space="preserve">Sistema de Revolvimento (Compostador) CRO 4.0 </t>
  </si>
  <si>
    <t>Sistema de Irrigação por aspersão com bombeamento</t>
  </si>
  <si>
    <t>Empacotadeira de embalagem plástica</t>
  </si>
  <si>
    <t>Galpão coberto estrutura metálica com piso concreto usinado</t>
  </si>
  <si>
    <t>Reservatórios coleta de água de chuva (caixa d’água 20 m³)</t>
  </si>
  <si>
    <t>Piso em solo cimento 100 mm</t>
  </si>
  <si>
    <t>Sistema de coleta e armazenamento de líquidos percolados</t>
  </si>
  <si>
    <t>2.9</t>
  </si>
  <si>
    <t>2.10</t>
  </si>
  <si>
    <t>2.11</t>
  </si>
  <si>
    <t>2.12</t>
  </si>
  <si>
    <t>2.13</t>
  </si>
  <si>
    <t>2.14</t>
  </si>
  <si>
    <t>2.16</t>
  </si>
  <si>
    <t>2.17</t>
  </si>
  <si>
    <t>2.18</t>
  </si>
  <si>
    <t>2.19</t>
  </si>
  <si>
    <t>2.20</t>
  </si>
  <si>
    <t>2.21</t>
  </si>
  <si>
    <t>Central de Triagem</t>
  </si>
  <si>
    <t>3.1.1</t>
  </si>
  <si>
    <t>3.1.2</t>
  </si>
  <si>
    <t>3.1.3</t>
  </si>
  <si>
    <t>3.1.4</t>
  </si>
  <si>
    <t>3.1.5</t>
  </si>
  <si>
    <t>Central de Compostagem</t>
  </si>
  <si>
    <t>3.2.1</t>
  </si>
  <si>
    <t>3.2.2</t>
  </si>
  <si>
    <t>3.2.3</t>
  </si>
  <si>
    <t>3.2.4</t>
  </si>
  <si>
    <t>3.2.5</t>
  </si>
  <si>
    <t>3.2.6</t>
  </si>
  <si>
    <t>3.2.7</t>
  </si>
  <si>
    <t>3.1.6</t>
  </si>
  <si>
    <t>3.3.1</t>
  </si>
  <si>
    <t>3.3.2</t>
  </si>
  <si>
    <t>3.3.3</t>
  </si>
  <si>
    <t>3.3.4</t>
  </si>
  <si>
    <t>3.3.5</t>
  </si>
  <si>
    <t>Central de Processamento de RCC e Aterro</t>
  </si>
  <si>
    <t>Caminhão Caçamba Roll on/rool of</t>
  </si>
  <si>
    <t>Caminhão Caçamba</t>
  </si>
  <si>
    <t>Compressor</t>
  </si>
  <si>
    <t>Jato Lavador</t>
  </si>
  <si>
    <t>Reservatórios Combustível (1000l)</t>
  </si>
  <si>
    <t>Veículos - Utilitário</t>
  </si>
  <si>
    <t>Veículos - Pickup</t>
  </si>
  <si>
    <t>Veículos - Van</t>
  </si>
  <si>
    <t>3.2.8</t>
  </si>
  <si>
    <t>3.1.7</t>
  </si>
  <si>
    <t>3.1.8</t>
  </si>
  <si>
    <t>3.1.9</t>
  </si>
  <si>
    <t>3.1.10</t>
  </si>
  <si>
    <t>3.1.11</t>
  </si>
  <si>
    <t>3.3.6</t>
  </si>
  <si>
    <t>Operador máquinas</t>
  </si>
  <si>
    <t>Custos Laboratoriais (Compostagem)</t>
  </si>
  <si>
    <t>Manutenção equipamentos (Compostagem)</t>
  </si>
  <si>
    <t>Despesas Operacionais (compostagem)</t>
  </si>
  <si>
    <t>Despesas Operacionais (RCD)</t>
  </si>
  <si>
    <t>Manutenção equipamentos (RCD)</t>
  </si>
  <si>
    <t>SEGURO Máquinas e Equipamentos</t>
  </si>
  <si>
    <t>SEGURO Pessoal (Acidentes e Vida)</t>
  </si>
  <si>
    <t>SEGURO Garantia</t>
  </si>
  <si>
    <t>Reinvestimentos</t>
  </si>
  <si>
    <t>Tributos Regulação e Fiscalização</t>
  </si>
  <si>
    <t>50% da capacidade do equipamento</t>
  </si>
  <si>
    <t>Alavancagem-Alvo (D/E)</t>
  </si>
  <si>
    <t>01.01.2022</t>
  </si>
  <si>
    <t>Valor do Salário míminio - base 2022</t>
  </si>
  <si>
    <t>IBGE, 2021</t>
  </si>
  <si>
    <t>Inflação Média últimos 10 anos (2011-2021) (IPCA)</t>
  </si>
  <si>
    <t xml:space="preserve"> </t>
  </si>
  <si>
    <t>Ano 1 = 2023</t>
  </si>
  <si>
    <t>total</t>
  </si>
  <si>
    <t>INDICE INCC</t>
  </si>
  <si>
    <t xml:space="preserve">INDICE IPCA </t>
  </si>
  <si>
    <t>Salário mínimo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</si>
</sst>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1" formatCode="_(* #,##0_);_(* \(#,##0\);_(* &quot;-&quot;_);_(@_)"/>
    <numFmt numFmtId="44" formatCode="_(&quot;R$&quot;* #,##0.00_);_(&quot;R$&quot;* \(#,##0.00\);_(&quot;R$&quot;* &quot;-&quot;??_);_(@_)"/>
    <numFmt numFmtId="43" formatCode="_(* #,##0.00_);_(* \(#,##0.00\);_(* &quot;-&quot;??_);_(@_)"/>
    <numFmt numFmtId="164" formatCode="&quot;R$&quot;\ #,##0.00;\-&quot;R$&quot;\ #,##0.00"/>
    <numFmt numFmtId="165" formatCode="&quot;R$&quot;\ #,##0.00;[Red]\-&quot;R$&quot;\ #,##0.00"/>
    <numFmt numFmtId="166" formatCode="_-&quot;R$&quot;\ * #,##0.00_-;\-&quot;R$&quot;\ * #,##0.00_-;_-&quot;R$&quot;\ * &quot;-&quot;??_-;_-@_-"/>
    <numFmt numFmtId="167" formatCode="_-* #,##0.00_-;\-* #,##0.00_-;_-* &quot;-&quot;??_-;_-@_-"/>
    <numFmt numFmtId="168" formatCode="_-* #,##0_-;\-* #,##0_-;_-* &quot;-&quot;??_-;_-@_-"/>
    <numFmt numFmtId="169" formatCode="_(* #,##0_);_(* \(#,##0\);_(* &quot;-&quot;??_);_(@_)"/>
    <numFmt numFmtId="170" formatCode="_([$€-2]* #,##0.00_);_([$€-2]* \(#,##0.00\);_([$€-2]* &quot;-&quot;??_)"/>
    <numFmt numFmtId="171" formatCode="&quot;$&quot;#,##0_);\(&quot;$&quot;#,##0\)"/>
    <numFmt numFmtId="172" formatCode="&quot;R$&quot;\ #,##0.00"/>
    <numFmt numFmtId="173" formatCode="0.0%"/>
    <numFmt numFmtId="174" formatCode="#,##0.0_);\(#,##0.0\)"/>
    <numFmt numFmtId="175" formatCode="&quot;R$&quot;\ * #,##0.00&quot;/ton&quot;"/>
    <numFmt numFmtId="176" formatCode="&quot;Ano&quot;\ 0"/>
    <numFmt numFmtId="177" formatCode="_-&quot;R$&quot;\ * #,##0_-;\-&quot;R$&quot;\ * #,##0_-;_-&quot;R$&quot;\ * &quot;-&quot;??_-;_-@_-"/>
    <numFmt numFmtId="178" formatCode="_(&quot;R$ &quot;* #,##0_);_(&quot;R$ &quot;* \(#,##0\);_(&quot;R$ &quot;* &quot;-&quot;_);_(@_)"/>
    <numFmt numFmtId="179" formatCode="#,##0.000"/>
    <numFmt numFmtId="180" formatCode="_-[$$-409]* #,##0.00_ ;_-[$$-409]* \-#,##0.00\ ;_-[$$-409]* &quot;-&quot;??_ ;_-@_ "/>
    <numFmt numFmtId="181" formatCode="0.0"/>
    <numFmt numFmtId="182" formatCode="_-[$R$-416]\ * #,##0.00_-;\-[$R$-416]\ * #,##0.00_-;_-[$R$-416]\ * &quot;-&quot;??_-;_-@_-"/>
    <numFmt numFmtId="183" formatCode="0.00&quot; meses&quot;"/>
    <numFmt numFmtId="184" formatCode="0.00%&quot;aa&quot;"/>
    <numFmt numFmtId="185" formatCode="0.000"/>
    <numFmt numFmtId="186" formatCode="&quot;R$ &quot;#,##0.00"/>
    <numFmt numFmtId="187" formatCode="&quot;R$&quot;#,##0.0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Times New Roman"/>
      <family val="1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Helv"/>
    </font>
    <font>
      <sz val="11"/>
      <color indexed="8"/>
      <name val="Calibri"/>
      <family val="2"/>
      <charset val="1"/>
    </font>
    <font>
      <sz val="10"/>
      <name val="Courier"/>
      <family val="3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20"/>
      <name val="Arial"/>
      <family val="2"/>
    </font>
    <font>
      <b/>
      <sz val="14"/>
      <color theme="0"/>
      <name val="Arial"/>
      <family val="2"/>
    </font>
    <font>
      <b/>
      <sz val="9"/>
      <color theme="0"/>
      <name val="Arial"/>
      <family val="2"/>
    </font>
    <font>
      <sz val="10"/>
      <color rgb="FFFF0000"/>
      <name val="Arial"/>
      <family val="2"/>
    </font>
    <font>
      <b/>
      <sz val="12"/>
      <color indexed="9"/>
      <name val="Arial"/>
      <family val="2"/>
    </font>
    <font>
      <b/>
      <sz val="10"/>
      <color indexed="8"/>
      <name val="Calibri"/>
      <family val="2"/>
      <scheme val="minor"/>
    </font>
    <font>
      <b/>
      <sz val="10"/>
      <color theme="8" tint="0.79998168889431442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indexed="12"/>
      <name val="Arial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name val="Century Gothic"/>
      <family val="2"/>
    </font>
    <font>
      <sz val="8"/>
      <name val="Century Gothic"/>
      <family val="2"/>
    </font>
    <font>
      <sz val="8"/>
      <color rgb="FF0D0D0D"/>
      <name val="Century Gothic"/>
      <family val="2"/>
    </font>
    <font>
      <b/>
      <sz val="8"/>
      <color rgb="FF0D0D0D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rgb="FF0D0D0D"/>
      <name val="Century Gothic"/>
      <family val="2"/>
    </font>
    <font>
      <b/>
      <sz val="11"/>
      <name val="Century Gothic"/>
      <family val="2"/>
    </font>
    <font>
      <b/>
      <sz val="26"/>
      <color theme="1"/>
      <name val="Arial"/>
      <family val="2"/>
    </font>
    <font>
      <b/>
      <sz val="11"/>
      <color theme="1"/>
      <name val="Arial"/>
      <family val="2"/>
    </font>
    <font>
      <sz val="11"/>
      <color theme="3"/>
      <name val="Arial"/>
      <family val="2"/>
    </font>
    <font>
      <sz val="11"/>
      <name val="Arial"/>
      <family val="2"/>
    </font>
    <font>
      <sz val="11"/>
      <color rgb="FF0070C0"/>
      <name val="Arial"/>
      <family val="2"/>
    </font>
    <font>
      <sz val="11"/>
      <color theme="1"/>
      <name val="Arial Narrow"/>
      <family val="2"/>
    </font>
    <font>
      <b/>
      <u val="singleAccounting"/>
      <sz val="10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bscript"/>
      <sz val="10"/>
      <color theme="0"/>
      <name val="Arial Narrow"/>
      <family val="2"/>
    </font>
    <font>
      <sz val="10"/>
      <color theme="1"/>
      <name val="Arial Narrow"/>
      <family val="2"/>
    </font>
    <font>
      <vertAlign val="superscript"/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vertAlign val="subscript"/>
      <sz val="10"/>
      <color theme="1"/>
      <name val="Arial Narrow"/>
      <family val="2"/>
    </font>
    <font>
      <vertAlign val="subscript"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0"/>
      <color rgb="FF000000"/>
      <name val="Arial"/>
      <family val="2"/>
    </font>
    <font>
      <b/>
      <i/>
      <sz val="8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rgb="FFEBEBEB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166" fontId="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70" fontId="4" fillId="0" borderId="0" applyFont="0" applyFill="0" applyBorder="0" applyAlignment="0" applyProtection="0"/>
    <xf numFmtId="0" fontId="11" fillId="0" borderId="0"/>
    <xf numFmtId="0" fontId="12" fillId="0" borderId="0"/>
    <xf numFmtId="171" fontId="4" fillId="0" borderId="0" applyFont="0" applyFill="0" applyBorder="0" applyAlignment="0" applyProtection="0"/>
    <xf numFmtId="37" fontId="4" fillId="3" borderId="0" applyFont="0" applyFill="0" applyBorder="0" applyAlignment="0" applyProtection="0"/>
    <xf numFmtId="41" fontId="4" fillId="0" borderId="1" applyFont="0" applyFill="0" applyBorder="0" applyAlignment="0" applyProtection="0">
      <alignment horizontal="center" vertical="center"/>
    </xf>
    <xf numFmtId="10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10" fillId="0" borderId="0"/>
    <xf numFmtId="0" fontId="10" fillId="0" borderId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24">
    <xf numFmtId="0" fontId="0" fillId="0" borderId="0" xfId="0"/>
    <xf numFmtId="0" fontId="0" fillId="0" borderId="0" xfId="0"/>
    <xf numFmtId="10" fontId="5" fillId="0" borderId="12" xfId="2" applyNumberFormat="1" applyFont="1" applyFill="1" applyBorder="1"/>
    <xf numFmtId="0" fontId="7" fillId="0" borderId="1" xfId="34" applyFont="1" applyBorder="1" applyAlignment="1">
      <alignment horizontal="center"/>
    </xf>
    <xf numFmtId="0" fontId="5" fillId="0" borderId="1" xfId="34" applyFont="1" applyBorder="1" applyAlignment="1">
      <alignment horizontal="center"/>
    </xf>
    <xf numFmtId="2" fontId="4" fillId="0" borderId="1" xfId="34" applyNumberFormat="1" applyFont="1" applyBorder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5" fillId="3" borderId="0" xfId="32" applyFont="1" applyFill="1" applyBorder="1" applyAlignment="1">
      <alignment vertical="center"/>
    </xf>
    <xf numFmtId="0" fontId="0" fillId="0" borderId="0" xfId="0"/>
    <xf numFmtId="0" fontId="5" fillId="3" borderId="0" xfId="32" applyFont="1" applyFill="1" applyBorder="1" applyAlignment="1">
      <alignment horizontal="center" vertical="center"/>
    </xf>
    <xf numFmtId="10" fontId="5" fillId="0" borderId="18" xfId="2" applyNumberFormat="1" applyFont="1" applyBorder="1"/>
    <xf numFmtId="0" fontId="0" fillId="0" borderId="1" xfId="0" applyBorder="1"/>
    <xf numFmtId="0" fontId="0" fillId="0" borderId="0" xfId="0"/>
    <xf numFmtId="175" fontId="5" fillId="4" borderId="1" xfId="34" applyNumberFormat="1" applyFont="1" applyFill="1" applyBorder="1"/>
    <xf numFmtId="173" fontId="5" fillId="0" borderId="1" xfId="2" applyNumberFormat="1" applyFont="1" applyBorder="1"/>
    <xf numFmtId="164" fontId="5" fillId="0" borderId="1" xfId="34" applyNumberFormat="1" applyFont="1" applyBorder="1"/>
    <xf numFmtId="164" fontId="5" fillId="0" borderId="1" xfId="34" applyNumberFormat="1" applyFont="1" applyBorder="1" applyAlignment="1">
      <alignment horizontal="center"/>
    </xf>
    <xf numFmtId="173" fontId="5" fillId="0" borderId="1" xfId="34" applyNumberFormat="1" applyFont="1" applyBorder="1"/>
    <xf numFmtId="9" fontId="4" fillId="0" borderId="1" xfId="34" applyNumberFormat="1" applyFont="1" applyBorder="1"/>
    <xf numFmtId="0" fontId="0" fillId="0" borderId="0" xfId="0"/>
    <xf numFmtId="0" fontId="0" fillId="0" borderId="0" xfId="0" applyBorder="1"/>
    <xf numFmtId="174" fontId="4" fillId="0" borderId="1" xfId="34" applyNumberFormat="1" applyFont="1" applyBorder="1"/>
    <xf numFmtId="0" fontId="4" fillId="0" borderId="9" xfId="34" applyFont="1" applyBorder="1" applyAlignment="1">
      <alignment horizontal="center"/>
    </xf>
    <xf numFmtId="0" fontId="4" fillId="0" borderId="1" xfId="34" applyFont="1" applyBorder="1"/>
    <xf numFmtId="0" fontId="4" fillId="0" borderId="13" xfId="34" applyFont="1" applyBorder="1" applyAlignment="1">
      <alignment horizontal="center"/>
    </xf>
    <xf numFmtId="0" fontId="4" fillId="0" borderId="14" xfId="34" applyFont="1" applyBorder="1"/>
    <xf numFmtId="0" fontId="4" fillId="0" borderId="14" xfId="34" applyFont="1" applyBorder="1" applyAlignment="1">
      <alignment horizontal="center"/>
    </xf>
    <xf numFmtId="174" fontId="4" fillId="0" borderId="1" xfId="34" applyNumberFormat="1" applyFont="1" applyBorder="1"/>
    <xf numFmtId="0" fontId="4" fillId="0" borderId="9" xfId="34" applyFont="1" applyBorder="1" applyAlignment="1">
      <alignment horizontal="center"/>
    </xf>
    <xf numFmtId="0" fontId="4" fillId="0" borderId="1" xfId="34" applyFont="1" applyBorder="1"/>
    <xf numFmtId="0" fontId="5" fillId="0" borderId="1" xfId="34" applyFont="1" applyBorder="1"/>
    <xf numFmtId="174" fontId="5" fillId="2" borderId="1" xfId="34" applyNumberFormat="1" applyFont="1" applyFill="1" applyBorder="1"/>
    <xf numFmtId="0" fontId="4" fillId="0" borderId="10" xfId="34" applyFont="1" applyBorder="1" applyAlignment="1">
      <alignment horizontal="center"/>
    </xf>
    <xf numFmtId="0" fontId="5" fillId="0" borderId="11" xfId="34" applyFont="1" applyBorder="1"/>
    <xf numFmtId="174" fontId="5" fillId="0" borderId="1" xfId="34" applyNumberFormat="1" applyFont="1" applyBorder="1"/>
    <xf numFmtId="10" fontId="4" fillId="0" borderId="12" xfId="2" applyNumberFormat="1" applyFont="1" applyFill="1" applyBorder="1"/>
    <xf numFmtId="0" fontId="0" fillId="0" borderId="0" xfId="0"/>
    <xf numFmtId="0" fontId="0" fillId="0" borderId="0" xfId="0" applyBorder="1"/>
    <xf numFmtId="0" fontId="4" fillId="0" borderId="19" xfId="34" applyFont="1" applyBorder="1" applyAlignment="1">
      <alignment horizontal="center"/>
    </xf>
    <xf numFmtId="0" fontId="4" fillId="0" borderId="11" xfId="34" applyFont="1" applyBorder="1" applyAlignment="1">
      <alignment horizontal="center"/>
    </xf>
    <xf numFmtId="0" fontId="4" fillId="0" borderId="20" xfId="34" applyFont="1" applyBorder="1" applyAlignment="1">
      <alignment horizontal="center"/>
    </xf>
    <xf numFmtId="0" fontId="4" fillId="0" borderId="8" xfId="34" applyFont="1" applyBorder="1" applyAlignment="1">
      <alignment horizontal="center"/>
    </xf>
    <xf numFmtId="0" fontId="4" fillId="0" borderId="2" xfId="34" applyFont="1" applyBorder="1"/>
    <xf numFmtId="174" fontId="4" fillId="0" borderId="1" xfId="34" applyNumberFormat="1" applyFont="1" applyBorder="1"/>
    <xf numFmtId="0" fontId="4" fillId="0" borderId="9" xfId="34" applyFont="1" applyBorder="1" applyAlignment="1">
      <alignment horizontal="center"/>
    </xf>
    <xf numFmtId="0" fontId="4" fillId="0" borderId="1" xfId="34" applyFont="1" applyBorder="1"/>
    <xf numFmtId="0" fontId="5" fillId="0" borderId="1" xfId="34" applyFont="1" applyBorder="1"/>
    <xf numFmtId="174" fontId="5" fillId="2" borderId="1" xfId="34" applyNumberFormat="1" applyFont="1" applyFill="1" applyBorder="1"/>
    <xf numFmtId="0" fontId="4" fillId="0" borderId="10" xfId="34" applyFont="1" applyBorder="1" applyAlignment="1">
      <alignment horizontal="center"/>
    </xf>
    <xf numFmtId="174" fontId="5" fillId="0" borderId="1" xfId="34" applyNumberFormat="1" applyFont="1" applyBorder="1"/>
    <xf numFmtId="0" fontId="4" fillId="0" borderId="13" xfId="34" applyFont="1" applyBorder="1" applyAlignment="1">
      <alignment horizontal="center"/>
    </xf>
    <xf numFmtId="0" fontId="4" fillId="0" borderId="14" xfId="34" applyFont="1" applyBorder="1" applyAlignment="1">
      <alignment horizontal="center"/>
    </xf>
    <xf numFmtId="0" fontId="4" fillId="0" borderId="17" xfId="34" applyFont="1" applyBorder="1" applyAlignment="1">
      <alignment horizontal="center"/>
    </xf>
    <xf numFmtId="0" fontId="4" fillId="0" borderId="18" xfId="34" applyFont="1" applyBorder="1" applyAlignment="1">
      <alignment horizontal="center"/>
    </xf>
    <xf numFmtId="0" fontId="15" fillId="3" borderId="1" xfId="20" applyFont="1" applyFill="1" applyBorder="1" applyAlignment="1">
      <alignment horizontal="center" vertical="center"/>
    </xf>
    <xf numFmtId="0" fontId="16" fillId="3" borderId="1" xfId="20" applyFont="1" applyFill="1" applyBorder="1" applyAlignment="1">
      <alignment horizontal="center" vertical="center"/>
    </xf>
    <xf numFmtId="0" fontId="16" fillId="3" borderId="1" xfId="20" applyFont="1" applyFill="1" applyBorder="1" applyAlignment="1">
      <alignment horizontal="justify" vertical="center"/>
    </xf>
    <xf numFmtId="9" fontId="15" fillId="3" borderId="1" xfId="20" applyNumberFormat="1" applyFont="1" applyFill="1" applyBorder="1" applyAlignment="1">
      <alignment horizontal="center" vertical="center"/>
    </xf>
    <xf numFmtId="43" fontId="16" fillId="3" borderId="1" xfId="36" applyNumberFormat="1" applyFont="1" applyFill="1" applyBorder="1" applyAlignment="1">
      <alignment horizontal="justify" vertical="center"/>
    </xf>
    <xf numFmtId="0" fontId="17" fillId="3" borderId="5" xfId="20" applyFont="1" applyFill="1" applyBorder="1" applyAlignment="1">
      <alignment vertical="center"/>
    </xf>
    <xf numFmtId="0" fontId="5" fillId="3" borderId="6" xfId="20" applyFont="1" applyFill="1" applyBorder="1" applyAlignment="1">
      <alignment vertical="center"/>
    </xf>
    <xf numFmtId="9" fontId="5" fillId="3" borderId="6" xfId="27" applyFont="1" applyFill="1" applyBorder="1" applyAlignment="1">
      <alignment vertical="center"/>
    </xf>
    <xf numFmtId="0" fontId="5" fillId="3" borderId="3" xfId="20" applyFont="1" applyFill="1" applyBorder="1" applyAlignment="1">
      <alignment vertical="center"/>
    </xf>
    <xf numFmtId="0" fontId="15" fillId="3" borderId="6" xfId="20" applyFont="1" applyFill="1" applyBorder="1" applyAlignment="1">
      <alignment vertical="center"/>
    </xf>
    <xf numFmtId="0" fontId="15" fillId="3" borderId="3" xfId="20" applyFont="1" applyFill="1" applyBorder="1" applyAlignment="1">
      <alignment vertical="center"/>
    </xf>
    <xf numFmtId="0" fontId="14" fillId="3" borderId="7" xfId="20" applyFont="1" applyFill="1" applyBorder="1" applyAlignment="1">
      <alignment horizontal="center" vertical="center"/>
    </xf>
    <xf numFmtId="166" fontId="16" fillId="3" borderId="1" xfId="7" applyFont="1" applyFill="1" applyBorder="1" applyAlignment="1">
      <alignment horizontal="justify" vertical="center"/>
    </xf>
    <xf numFmtId="173" fontId="15" fillId="3" borderId="1" xfId="20" applyNumberFormat="1" applyFont="1" applyFill="1" applyBorder="1" applyAlignment="1">
      <alignment horizontal="center" vertical="center"/>
    </xf>
    <xf numFmtId="0" fontId="7" fillId="3" borderId="5" xfId="20" applyFont="1" applyFill="1" applyBorder="1" applyAlignment="1">
      <alignment vertical="center"/>
    </xf>
    <xf numFmtId="168" fontId="17" fillId="3" borderId="1" xfId="1" applyNumberFormat="1" applyFont="1" applyFill="1" applyBorder="1" applyAlignment="1">
      <alignment horizontal="left" vertical="center"/>
    </xf>
    <xf numFmtId="0" fontId="5" fillId="0" borderId="2" xfId="34" applyFont="1" applyBorder="1" applyAlignment="1">
      <alignment horizontal="center"/>
    </xf>
    <xf numFmtId="0" fontId="2" fillId="0" borderId="1" xfId="0" applyFont="1" applyBorder="1"/>
    <xf numFmtId="10" fontId="4" fillId="0" borderId="1" xfId="2" applyNumberFormat="1" applyFont="1" applyBorder="1"/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173" fontId="19" fillId="0" borderId="16" xfId="2" applyNumberFormat="1" applyFont="1" applyBorder="1" applyAlignment="1">
      <alignment horizontal="center" vertical="center" wrapText="1"/>
    </xf>
    <xf numFmtId="173" fontId="19" fillId="0" borderId="24" xfId="2" applyNumberFormat="1" applyFont="1" applyBorder="1" applyAlignment="1">
      <alignment horizontal="center" vertical="center" wrapText="1"/>
    </xf>
    <xf numFmtId="10" fontId="0" fillId="0" borderId="0" xfId="2" applyNumberFormat="1" applyFont="1"/>
    <xf numFmtId="173" fontId="19" fillId="0" borderId="22" xfId="2" applyNumberFormat="1" applyFont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39" fontId="4" fillId="0" borderId="1" xfId="34" applyNumberFormat="1" applyFont="1" applyBorder="1"/>
    <xf numFmtId="37" fontId="4" fillId="0" borderId="1" xfId="34" applyNumberFormat="1" applyFont="1" applyBorder="1"/>
    <xf numFmtId="2" fontId="21" fillId="0" borderId="24" xfId="0" applyNumberFormat="1" applyFont="1" applyBorder="1" applyAlignment="1">
      <alignment horizontal="center" vertical="center"/>
    </xf>
    <xf numFmtId="2" fontId="21" fillId="0" borderId="24" xfId="0" applyNumberFormat="1" applyFont="1" applyBorder="1" applyAlignment="1">
      <alignment horizontal="center" vertical="center" wrapText="1"/>
    </xf>
    <xf numFmtId="173" fontId="0" fillId="0" borderId="22" xfId="0" applyNumberForma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0" fontId="15" fillId="3" borderId="31" xfId="20" applyFont="1" applyFill="1" applyBorder="1" applyAlignment="1">
      <alignment horizontal="center" vertical="center"/>
    </xf>
    <xf numFmtId="0" fontId="15" fillId="3" borderId="2" xfId="20" applyFont="1" applyFill="1" applyBorder="1" applyAlignment="1">
      <alignment horizontal="left" vertical="center"/>
    </xf>
    <xf numFmtId="0" fontId="16" fillId="3" borderId="32" xfId="20" applyFont="1" applyFill="1" applyBorder="1" applyAlignment="1">
      <alignment horizontal="center" vertical="center"/>
    </xf>
    <xf numFmtId="169" fontId="16" fillId="3" borderId="1" xfId="36" applyNumberFormat="1" applyFont="1" applyFill="1" applyBorder="1" applyAlignment="1">
      <alignment horizontal="justify" vertical="center"/>
    </xf>
    <xf numFmtId="172" fontId="16" fillId="3" borderId="1" xfId="36" applyNumberFormat="1" applyFont="1" applyFill="1" applyBorder="1" applyAlignment="1">
      <alignment horizontal="justify" vertical="center"/>
    </xf>
    <xf numFmtId="0" fontId="15" fillId="3" borderId="32" xfId="20" applyFont="1" applyFill="1" applyBorder="1" applyAlignment="1">
      <alignment horizontal="center" vertical="center"/>
    </xf>
    <xf numFmtId="0" fontId="16" fillId="3" borderId="1" xfId="20" applyFont="1" applyFill="1" applyBorder="1" applyAlignment="1">
      <alignment vertical="center"/>
    </xf>
    <xf numFmtId="43" fontId="16" fillId="3" borderId="1" xfId="36" applyFont="1" applyFill="1" applyBorder="1" applyAlignment="1">
      <alignment vertical="center"/>
    </xf>
    <xf numFmtId="172" fontId="16" fillId="3" borderId="1" xfId="20" applyNumberFormat="1" applyFont="1" applyFill="1" applyBorder="1" applyAlignment="1">
      <alignment vertical="center"/>
    </xf>
    <xf numFmtId="3" fontId="16" fillId="3" borderId="1" xfId="20" applyNumberFormat="1" applyFont="1" applyFill="1" applyBorder="1" applyAlignment="1">
      <alignment vertical="center"/>
    </xf>
    <xf numFmtId="4" fontId="16" fillId="3" borderId="1" xfId="20" applyNumberFormat="1" applyFont="1" applyFill="1" applyBorder="1" applyAlignment="1">
      <alignment vertical="center"/>
    </xf>
    <xf numFmtId="3" fontId="15" fillId="5" borderId="1" xfId="20" applyNumberFormat="1" applyFont="1" applyFill="1" applyBorder="1" applyAlignment="1">
      <alignment vertical="center"/>
    </xf>
    <xf numFmtId="0" fontId="20" fillId="0" borderId="22" xfId="0" applyFont="1" applyBorder="1" applyAlignment="1">
      <alignment horizontal="center" vertical="center" wrapText="1"/>
    </xf>
    <xf numFmtId="10" fontId="23" fillId="0" borderId="1" xfId="2" applyNumberFormat="1" applyFont="1" applyBorder="1"/>
    <xf numFmtId="9" fontId="0" fillId="0" borderId="1" xfId="0" applyNumberFormat="1" applyBorder="1"/>
    <xf numFmtId="0" fontId="16" fillId="3" borderId="2" xfId="20" applyFont="1" applyFill="1" applyBorder="1" applyAlignment="1">
      <alignment horizontal="center" vertical="center"/>
    </xf>
    <xf numFmtId="177" fontId="0" fillId="0" borderId="0" xfId="0" applyNumberFormat="1" applyFont="1"/>
    <xf numFmtId="165" fontId="0" fillId="0" borderId="1" xfId="6" applyNumberFormat="1" applyFont="1" applyBorder="1"/>
    <xf numFmtId="0" fontId="0" fillId="0" borderId="0" xfId="0" applyFont="1"/>
    <xf numFmtId="0" fontId="0" fillId="0" borderId="0" xfId="0" applyFill="1"/>
    <xf numFmtId="0" fontId="27" fillId="0" borderId="1" xfId="0" applyFont="1" applyFill="1" applyBorder="1" applyAlignment="1">
      <alignment horizontal="left" vertical="center"/>
    </xf>
    <xf numFmtId="166" fontId="27" fillId="0" borderId="1" xfId="3" applyFont="1" applyFill="1" applyBorder="1" applyAlignment="1">
      <alignment horizontal="center" vertical="center"/>
    </xf>
    <xf numFmtId="0" fontId="27" fillId="7" borderId="1" xfId="0" applyFont="1" applyFill="1" applyBorder="1"/>
    <xf numFmtId="178" fontId="27" fillId="7" borderId="1" xfId="3" applyNumberFormat="1" applyFont="1" applyFill="1" applyBorder="1"/>
    <xf numFmtId="0" fontId="28" fillId="0" borderId="1" xfId="0" applyFont="1" applyBorder="1"/>
    <xf numFmtId="178" fontId="28" fillId="0" borderId="1" xfId="3" applyNumberFormat="1" applyFont="1" applyFill="1" applyBorder="1"/>
    <xf numFmtId="0" fontId="23" fillId="0" borderId="1" xfId="0" applyFont="1" applyBorder="1"/>
    <xf numFmtId="0" fontId="27" fillId="8" borderId="1" xfId="0" applyFont="1" applyFill="1" applyBorder="1"/>
    <xf numFmtId="9" fontId="29" fillId="0" borderId="1" xfId="2" applyFont="1" applyFill="1" applyBorder="1" applyAlignment="1">
      <alignment horizontal="center"/>
    </xf>
    <xf numFmtId="0" fontId="28" fillId="0" borderId="1" xfId="0" applyFont="1" applyFill="1" applyBorder="1"/>
    <xf numFmtId="0" fontId="28" fillId="0" borderId="0" xfId="0" applyFont="1" applyFill="1" applyBorder="1"/>
    <xf numFmtId="9" fontId="27" fillId="0" borderId="1" xfId="0" applyNumberFormat="1" applyFont="1" applyFill="1" applyBorder="1" applyAlignment="1">
      <alignment horizontal="center"/>
    </xf>
    <xf numFmtId="0" fontId="18" fillId="3" borderId="7" xfId="20" applyFont="1" applyFill="1" applyBorder="1" applyAlignment="1">
      <alignment vertical="center"/>
    </xf>
    <xf numFmtId="9" fontId="30" fillId="0" borderId="1" xfId="2" applyFont="1" applyFill="1" applyBorder="1" applyAlignment="1">
      <alignment horizontal="center"/>
    </xf>
    <xf numFmtId="178" fontId="28" fillId="8" borderId="1" xfId="3" applyNumberFormat="1" applyFont="1" applyFill="1" applyBorder="1"/>
    <xf numFmtId="3" fontId="4" fillId="0" borderId="0" xfId="20" applyNumberFormat="1" applyAlignment="1">
      <alignment vertical="center"/>
    </xf>
    <xf numFmtId="3" fontId="4" fillId="10" borderId="1" xfId="20" applyNumberFormat="1" applyFill="1" applyBorder="1" applyAlignment="1">
      <alignment vertical="center"/>
    </xf>
    <xf numFmtId="1" fontId="13" fillId="11" borderId="1" xfId="20" applyNumberFormat="1" applyFont="1" applyFill="1" applyBorder="1" applyAlignment="1" applyProtection="1">
      <alignment horizontal="center" vertical="center"/>
      <protection locked="0"/>
    </xf>
    <xf numFmtId="3" fontId="4" fillId="0" borderId="0" xfId="20" applyNumberFormat="1" applyAlignment="1" applyProtection="1">
      <alignment vertical="center"/>
    </xf>
    <xf numFmtId="3" fontId="4" fillId="10" borderId="1" xfId="20" applyNumberFormat="1" applyFont="1" applyFill="1" applyBorder="1" applyAlignment="1">
      <alignment vertical="center"/>
    </xf>
    <xf numFmtId="10" fontId="13" fillId="11" borderId="1" xfId="27" applyNumberFormat="1" applyFont="1" applyFill="1" applyBorder="1" applyAlignment="1" applyProtection="1">
      <alignment horizontal="center" vertical="center"/>
      <protection locked="0"/>
    </xf>
    <xf numFmtId="3" fontId="34" fillId="0" borderId="1" xfId="20" applyNumberFormat="1" applyFont="1" applyBorder="1" applyAlignment="1" applyProtection="1">
      <alignment horizontal="center" vertical="top"/>
    </xf>
    <xf numFmtId="3" fontId="4" fillId="0" borderId="1" xfId="20" applyNumberFormat="1" applyBorder="1" applyAlignment="1" applyProtection="1">
      <alignment horizontal="center" vertical="center"/>
    </xf>
    <xf numFmtId="1" fontId="5" fillId="0" borderId="1" xfId="20" applyNumberFormat="1" applyFont="1" applyBorder="1" applyAlignment="1" applyProtection="1">
      <alignment horizontal="center" vertical="center"/>
    </xf>
    <xf numFmtId="3" fontId="35" fillId="12" borderId="1" xfId="20" applyNumberFormat="1" applyFont="1" applyFill="1" applyBorder="1" applyAlignment="1" applyProtection="1">
      <alignment vertical="center"/>
    </xf>
    <xf numFmtId="3" fontId="5" fillId="13" borderId="1" xfId="20" applyNumberFormat="1" applyFont="1" applyFill="1" applyBorder="1" applyAlignment="1" applyProtection="1">
      <alignment vertical="center"/>
    </xf>
    <xf numFmtId="178" fontId="36" fillId="14" borderId="1" xfId="3" applyNumberFormat="1" applyFont="1" applyFill="1" applyBorder="1"/>
    <xf numFmtId="3" fontId="4" fillId="0" borderId="0" xfId="20" applyNumberFormat="1" applyFill="1" applyAlignment="1" applyProtection="1">
      <alignment vertical="center"/>
    </xf>
    <xf numFmtId="3" fontId="5" fillId="0" borderId="0" xfId="20" applyNumberFormat="1" applyFont="1" applyFill="1" applyBorder="1" applyAlignment="1" applyProtection="1">
      <alignment vertical="center"/>
    </xf>
    <xf numFmtId="3" fontId="37" fillId="15" borderId="0" xfId="20" applyNumberFormat="1" applyFont="1" applyFill="1" applyBorder="1" applyAlignment="1" applyProtection="1">
      <alignment horizontal="right" vertical="center"/>
    </xf>
    <xf numFmtId="3" fontId="37" fillId="15" borderId="0" xfId="20" applyNumberFormat="1" applyFont="1" applyFill="1" applyBorder="1" applyAlignment="1" applyProtection="1">
      <alignment horizontal="center" vertical="center"/>
    </xf>
    <xf numFmtId="3" fontId="38" fillId="8" borderId="0" xfId="20" applyNumberFormat="1" applyFont="1" applyFill="1" applyBorder="1" applyAlignment="1" applyProtection="1">
      <alignment horizontal="center" vertical="center"/>
    </xf>
    <xf numFmtId="0" fontId="38" fillId="8" borderId="0" xfId="20" applyNumberFormat="1" applyFont="1" applyFill="1" applyBorder="1" applyAlignment="1" applyProtection="1">
      <alignment vertical="center"/>
    </xf>
    <xf numFmtId="3" fontId="38" fillId="0" borderId="0" xfId="20" applyNumberFormat="1" applyFont="1" applyFill="1" applyBorder="1" applyAlignment="1" applyProtection="1">
      <alignment vertical="center"/>
    </xf>
    <xf numFmtId="3" fontId="37" fillId="15" borderId="0" xfId="20" applyNumberFormat="1" applyFont="1" applyFill="1" applyAlignment="1" applyProtection="1">
      <alignment horizontal="right" vertical="center"/>
    </xf>
    <xf numFmtId="173" fontId="37" fillId="15" borderId="0" xfId="27" applyNumberFormat="1" applyFont="1" applyFill="1" applyAlignment="1" applyProtection="1">
      <alignment horizontal="right" vertical="center"/>
    </xf>
    <xf numFmtId="3" fontId="37" fillId="15" borderId="0" xfId="20" applyNumberFormat="1" applyFont="1" applyFill="1" applyAlignment="1" applyProtection="1">
      <alignment vertical="center"/>
    </xf>
    <xf numFmtId="0" fontId="38" fillId="8" borderId="0" xfId="20" applyNumberFormat="1" applyFont="1" applyFill="1" applyBorder="1" applyAlignment="1" applyProtection="1">
      <alignment horizontal="center" vertical="center"/>
    </xf>
    <xf numFmtId="173" fontId="38" fillId="8" borderId="0" xfId="27" applyNumberFormat="1" applyFont="1" applyFill="1" applyBorder="1" applyAlignment="1" applyProtection="1">
      <alignment vertical="center"/>
    </xf>
    <xf numFmtId="1" fontId="38" fillId="8" borderId="0" xfId="35" applyNumberFormat="1" applyFont="1" applyFill="1" applyBorder="1" applyAlignment="1" applyProtection="1">
      <alignment vertical="center"/>
    </xf>
    <xf numFmtId="10" fontId="38" fillId="0" borderId="0" xfId="27" applyNumberFormat="1" applyFont="1" applyFill="1" applyBorder="1" applyAlignment="1" applyProtection="1">
      <alignment vertical="center"/>
    </xf>
    <xf numFmtId="3" fontId="39" fillId="0" borderId="0" xfId="20" applyNumberFormat="1" applyFont="1" applyAlignment="1" applyProtection="1">
      <alignment vertical="center"/>
    </xf>
    <xf numFmtId="179" fontId="39" fillId="0" borderId="0" xfId="20" applyNumberFormat="1" applyFont="1" applyAlignment="1">
      <alignment vertical="center"/>
    </xf>
    <xf numFmtId="179" fontId="4" fillId="0" borderId="0" xfId="20" applyNumberFormat="1" applyAlignment="1">
      <alignment vertical="center"/>
    </xf>
    <xf numFmtId="3" fontId="39" fillId="0" borderId="0" xfId="20" applyNumberFormat="1" applyFont="1" applyAlignment="1">
      <alignment vertical="center"/>
    </xf>
    <xf numFmtId="173" fontId="4" fillId="0" borderId="0" xfId="20" applyNumberFormat="1" applyAlignment="1">
      <alignment vertical="center"/>
    </xf>
    <xf numFmtId="9" fontId="0" fillId="0" borderId="0" xfId="27" applyFont="1" applyAlignment="1">
      <alignment vertical="center"/>
    </xf>
    <xf numFmtId="4" fontId="4" fillId="0" borderId="0" xfId="20" applyNumberFormat="1" applyAlignment="1">
      <alignment vertical="center"/>
    </xf>
    <xf numFmtId="180" fontId="4" fillId="0" borderId="0" xfId="20" applyNumberFormat="1" applyAlignment="1">
      <alignment vertical="center"/>
    </xf>
    <xf numFmtId="9" fontId="4" fillId="0" borderId="0" xfId="2" applyFont="1" applyAlignment="1">
      <alignment vertical="center"/>
    </xf>
    <xf numFmtId="173" fontId="39" fillId="8" borderId="0" xfId="27" applyNumberFormat="1" applyFont="1" applyFill="1" applyBorder="1" applyAlignment="1" applyProtection="1">
      <alignment vertical="center"/>
    </xf>
    <xf numFmtId="1" fontId="39" fillId="8" borderId="0" xfId="35" applyNumberFormat="1" applyFont="1" applyFill="1" applyBorder="1" applyAlignment="1" applyProtection="1">
      <alignment vertical="center"/>
    </xf>
    <xf numFmtId="0" fontId="38" fillId="8" borderId="0" xfId="20" applyNumberFormat="1" applyFont="1" applyFill="1" applyBorder="1" applyAlignment="1">
      <alignment horizontal="center" vertical="center"/>
    </xf>
    <xf numFmtId="173" fontId="39" fillId="8" borderId="0" xfId="27" applyNumberFormat="1" applyFont="1" applyFill="1" applyBorder="1" applyAlignment="1">
      <alignment vertical="center"/>
    </xf>
    <xf numFmtId="1" fontId="39" fillId="8" borderId="0" xfId="35" applyNumberFormat="1" applyFont="1" applyFill="1" applyBorder="1" applyAlignment="1">
      <alignment vertical="center"/>
    </xf>
    <xf numFmtId="10" fontId="19" fillId="0" borderId="16" xfId="2" applyNumberFormat="1" applyFont="1" applyBorder="1" applyAlignment="1">
      <alignment horizontal="center" vertical="center" wrapText="1"/>
    </xf>
    <xf numFmtId="181" fontId="0" fillId="0" borderId="1" xfId="0" applyNumberFormat="1" applyBorder="1"/>
    <xf numFmtId="0" fontId="4" fillId="0" borderId="1" xfId="34" applyFont="1" applyFill="1" applyBorder="1"/>
    <xf numFmtId="39" fontId="4" fillId="0" borderId="0" xfId="34" applyNumberFormat="1" applyFont="1" applyFill="1" applyBorder="1"/>
    <xf numFmtId="39" fontId="5" fillId="0" borderId="0" xfId="34" applyNumberFormat="1" applyFont="1" applyFill="1" applyBorder="1"/>
    <xf numFmtId="39" fontId="5" fillId="0" borderId="0" xfId="34" applyNumberFormat="1" applyFont="1" applyBorder="1"/>
    <xf numFmtId="10" fontId="4" fillId="0" borderId="0" xfId="34" applyNumberFormat="1" applyFont="1" applyFill="1" applyBorder="1"/>
    <xf numFmtId="0" fontId="4" fillId="0" borderId="36" xfId="34" applyFont="1" applyBorder="1" applyAlignment="1">
      <alignment horizontal="center"/>
    </xf>
    <xf numFmtId="0" fontId="4" fillId="0" borderId="41" xfId="34" applyFont="1" applyBorder="1" applyAlignment="1">
      <alignment horizontal="center"/>
    </xf>
    <xf numFmtId="172" fontId="4" fillId="0" borderId="1" xfId="34" applyNumberFormat="1" applyFont="1" applyBorder="1"/>
    <xf numFmtId="172" fontId="5" fillId="2" borderId="1" xfId="34" applyNumberFormat="1" applyFont="1" applyFill="1" applyBorder="1"/>
    <xf numFmtId="172" fontId="5" fillId="0" borderId="1" xfId="34" applyNumberFormat="1" applyFont="1" applyBorder="1"/>
    <xf numFmtId="0" fontId="4" fillId="0" borderId="0" xfId="32"/>
    <xf numFmtId="9" fontId="42" fillId="3" borderId="0" xfId="2" applyFont="1" applyFill="1" applyAlignment="1">
      <alignment vertical="center"/>
    </xf>
    <xf numFmtId="9" fontId="0" fillId="0" borderId="0" xfId="0" applyNumberFormat="1"/>
    <xf numFmtId="0" fontId="2" fillId="0" borderId="0" xfId="0" applyFont="1"/>
    <xf numFmtId="0" fontId="0" fillId="0" borderId="0" xfId="0" applyAlignment="1">
      <alignment horizontal="left" vertical="center" indent="1"/>
    </xf>
    <xf numFmtId="182" fontId="0" fillId="0" borderId="0" xfId="0" applyNumberFormat="1"/>
    <xf numFmtId="178" fontId="27" fillId="7" borderId="1" xfId="0" applyNumberFormat="1" applyFont="1" applyFill="1" applyBorder="1"/>
    <xf numFmtId="9" fontId="23" fillId="0" borderId="1" xfId="0" applyNumberFormat="1" applyFont="1" applyBorder="1"/>
    <xf numFmtId="178" fontId="27" fillId="7" borderId="5" xfId="3" applyNumberFormat="1" applyFont="1" applyFill="1" applyBorder="1"/>
    <xf numFmtId="178" fontId="27" fillId="0" borderId="0" xfId="3" applyNumberFormat="1" applyFont="1" applyFill="1" applyBorder="1"/>
    <xf numFmtId="0" fontId="6" fillId="0" borderId="0" xfId="8" applyFill="1" applyBorder="1" applyAlignment="1">
      <alignment horizontal="left" vertical="top"/>
    </xf>
    <xf numFmtId="166" fontId="6" fillId="0" borderId="0" xfId="35" applyFont="1" applyFill="1" applyBorder="1" applyAlignment="1">
      <alignment horizontal="left" vertical="top"/>
    </xf>
    <xf numFmtId="166" fontId="6" fillId="0" borderId="0" xfId="8" applyNumberFormat="1" applyFill="1" applyBorder="1" applyAlignment="1">
      <alignment horizontal="left" vertical="top"/>
    </xf>
    <xf numFmtId="183" fontId="6" fillId="0" borderId="0" xfId="8" applyNumberFormat="1" applyFill="1" applyBorder="1" applyAlignment="1">
      <alignment horizontal="left" vertical="top"/>
    </xf>
    <xf numFmtId="166" fontId="6" fillId="0" borderId="0" xfId="8" applyNumberFormat="1" applyFont="1" applyFill="1" applyBorder="1" applyAlignment="1">
      <alignment horizontal="left" vertical="top"/>
    </xf>
    <xf numFmtId="0" fontId="6" fillId="0" borderId="0" xfId="8" applyFont="1" applyFill="1" applyBorder="1" applyAlignment="1">
      <alignment horizontal="left" vertical="top"/>
    </xf>
    <xf numFmtId="166" fontId="45" fillId="0" borderId="0" xfId="35" applyFont="1" applyFill="1" applyBorder="1" applyAlignment="1">
      <alignment horizontal="left" vertical="top"/>
    </xf>
    <xf numFmtId="164" fontId="45" fillId="0" borderId="0" xfId="8" applyNumberFormat="1" applyFont="1" applyFill="1" applyBorder="1" applyAlignment="1">
      <alignment horizontal="left" vertical="top"/>
    </xf>
    <xf numFmtId="0" fontId="6" fillId="0" borderId="0" xfId="8" applyFill="1" applyBorder="1" applyAlignment="1">
      <alignment horizontal="center" vertical="center"/>
    </xf>
    <xf numFmtId="166" fontId="45" fillId="2" borderId="0" xfId="35" applyFont="1" applyFill="1" applyBorder="1" applyAlignment="1">
      <alignment horizontal="left" vertical="top"/>
    </xf>
    <xf numFmtId="164" fontId="46" fillId="0" borderId="0" xfId="35" applyNumberFormat="1" applyFont="1" applyFill="1" applyBorder="1" applyAlignment="1">
      <alignment horizontal="left" vertical="top"/>
    </xf>
    <xf numFmtId="164" fontId="46" fillId="0" borderId="0" xfId="35" applyNumberFormat="1" applyFont="1" applyFill="1" applyBorder="1" applyAlignment="1">
      <alignment horizontal="center" vertical="top"/>
    </xf>
    <xf numFmtId="183" fontId="47" fillId="0" borderId="1" xfId="8" applyNumberFormat="1" applyFont="1" applyFill="1" applyBorder="1" applyAlignment="1">
      <alignment horizontal="center" vertical="center" wrapText="1"/>
    </xf>
    <xf numFmtId="183" fontId="48" fillId="0" borderId="1" xfId="8" applyNumberFormat="1" applyFont="1" applyFill="1" applyBorder="1" applyAlignment="1">
      <alignment horizontal="center" vertical="center" wrapText="1"/>
    </xf>
    <xf numFmtId="0" fontId="48" fillId="0" borderId="1" xfId="8" applyFont="1" applyFill="1" applyBorder="1" applyAlignment="1">
      <alignment horizontal="center" vertical="center" wrapText="1"/>
    </xf>
    <xf numFmtId="0" fontId="47" fillId="0" borderId="1" xfId="8" applyFont="1" applyFill="1" applyBorder="1" applyAlignment="1">
      <alignment horizontal="center" vertical="center" wrapText="1"/>
    </xf>
    <xf numFmtId="0" fontId="6" fillId="0" borderId="0" xfId="8" applyFill="1" applyBorder="1" applyAlignment="1">
      <alignment vertical="top"/>
    </xf>
    <xf numFmtId="167" fontId="6" fillId="0" borderId="0" xfId="8" applyNumberFormat="1" applyFill="1" applyBorder="1" applyAlignment="1">
      <alignment horizontal="left" vertical="top"/>
    </xf>
    <xf numFmtId="0" fontId="49" fillId="0" borderId="0" xfId="8" applyFont="1" applyFill="1" applyBorder="1" applyAlignment="1">
      <alignment horizontal="center" vertical="center" wrapText="1"/>
    </xf>
    <xf numFmtId="164" fontId="47" fillId="0" borderId="0" xfId="8" applyNumberFormat="1" applyFont="1" applyFill="1" applyBorder="1" applyAlignment="1">
      <alignment horizontal="center" vertical="center" wrapText="1"/>
    </xf>
    <xf numFmtId="0" fontId="50" fillId="0" borderId="0" xfId="8" applyFont="1" applyFill="1" applyBorder="1" applyAlignment="1">
      <alignment horizontal="center" vertical="center" wrapText="1"/>
    </xf>
    <xf numFmtId="167" fontId="7" fillId="0" borderId="0" xfId="8" applyNumberFormat="1" applyFont="1" applyFill="1" applyBorder="1" applyAlignment="1">
      <alignment horizontal="center" vertical="center" wrapText="1"/>
    </xf>
    <xf numFmtId="43" fontId="48" fillId="0" borderId="0" xfId="33" applyFont="1" applyFill="1" applyBorder="1" applyAlignment="1">
      <alignment horizontal="center" vertical="center" wrapText="1"/>
    </xf>
    <xf numFmtId="184" fontId="48" fillId="0" borderId="0" xfId="8" applyNumberFormat="1" applyFont="1" applyFill="1" applyBorder="1" applyAlignment="1">
      <alignment horizontal="center" vertical="center" wrapText="1"/>
    </xf>
    <xf numFmtId="164" fontId="47" fillId="0" borderId="1" xfId="8" applyNumberFormat="1" applyFont="1" applyFill="1" applyBorder="1" applyAlignment="1">
      <alignment horizontal="center" vertical="center" wrapText="1"/>
    </xf>
    <xf numFmtId="184" fontId="48" fillId="0" borderId="42" xfId="8" applyNumberFormat="1" applyFont="1" applyFill="1" applyBorder="1" applyAlignment="1">
      <alignment horizontal="center" vertical="center" wrapText="1"/>
    </xf>
    <xf numFmtId="183" fontId="52" fillId="0" borderId="0" xfId="8" applyNumberFormat="1" applyFont="1" applyFill="1" applyBorder="1" applyAlignment="1">
      <alignment horizontal="center" vertical="center" wrapText="1"/>
    </xf>
    <xf numFmtId="0" fontId="53" fillId="0" borderId="0" xfId="8" applyFont="1" applyFill="1" applyBorder="1" applyAlignment="1">
      <alignment horizontal="center" vertical="center" wrapText="1"/>
    </xf>
    <xf numFmtId="0" fontId="6" fillId="0" borderId="0" xfId="8" applyFont="1" applyFill="1" applyBorder="1" applyAlignment="1">
      <alignment horizontal="left" vertical="center" wrapText="1"/>
    </xf>
    <xf numFmtId="183" fontId="48" fillId="0" borderId="11" xfId="8" applyNumberFormat="1" applyFont="1" applyFill="1" applyBorder="1" applyAlignment="1">
      <alignment horizontal="center" vertical="center" wrapText="1"/>
    </xf>
    <xf numFmtId="10" fontId="49" fillId="0" borderId="11" xfId="8" applyNumberFormat="1" applyFont="1" applyFill="1" applyBorder="1" applyAlignment="1">
      <alignment horizontal="center" vertical="center" wrapText="1"/>
    </xf>
    <xf numFmtId="0" fontId="50" fillId="0" borderId="11" xfId="8" applyFont="1" applyFill="1" applyBorder="1" applyAlignment="1">
      <alignment horizontal="center" vertical="center" wrapText="1"/>
    </xf>
    <xf numFmtId="9" fontId="49" fillId="0" borderId="1" xfId="8" applyNumberFormat="1" applyFont="1" applyFill="1" applyBorder="1" applyAlignment="1">
      <alignment horizontal="center" vertical="center" wrapText="1"/>
    </xf>
    <xf numFmtId="0" fontId="50" fillId="0" borderId="1" xfId="8" applyFont="1" applyFill="1" applyBorder="1" applyAlignment="1">
      <alignment horizontal="center" vertical="center" wrapText="1"/>
    </xf>
    <xf numFmtId="0" fontId="47" fillId="0" borderId="43" xfId="8" applyFont="1" applyFill="1" applyBorder="1" applyAlignment="1">
      <alignment horizontal="center" vertical="center" wrapText="1"/>
    </xf>
    <xf numFmtId="0" fontId="47" fillId="0" borderId="14" xfId="8" applyFont="1" applyFill="1" applyBorder="1" applyAlignment="1">
      <alignment horizontal="center" vertical="center" wrapText="1"/>
    </xf>
    <xf numFmtId="0" fontId="19" fillId="0" borderId="0" xfId="0" applyFont="1"/>
    <xf numFmtId="0" fontId="55" fillId="0" borderId="0" xfId="0" applyFont="1"/>
    <xf numFmtId="167" fontId="19" fillId="0" borderId="0" xfId="1" applyFont="1"/>
    <xf numFmtId="0" fontId="19" fillId="0" borderId="45" xfId="0" applyFont="1" applyBorder="1"/>
    <xf numFmtId="0" fontId="56" fillId="0" borderId="6" xfId="0" applyFont="1" applyBorder="1"/>
    <xf numFmtId="0" fontId="19" fillId="0" borderId="46" xfId="0" applyFont="1" applyBorder="1"/>
    <xf numFmtId="0" fontId="19" fillId="0" borderId="35" xfId="0" applyFont="1" applyBorder="1"/>
    <xf numFmtId="0" fontId="19" fillId="0" borderId="0" xfId="0" applyFont="1" applyBorder="1"/>
    <xf numFmtId="0" fontId="19" fillId="0" borderId="12" xfId="0" applyFont="1" applyBorder="1"/>
    <xf numFmtId="0" fontId="19" fillId="0" borderId="7" xfId="0" applyFont="1" applyFill="1" applyBorder="1"/>
    <xf numFmtId="37" fontId="58" fillId="0" borderId="0" xfId="0" applyNumberFormat="1" applyFont="1" applyBorder="1" applyAlignment="1">
      <alignment horizontal="center"/>
    </xf>
    <xf numFmtId="37" fontId="59" fillId="0" borderId="0" xfId="0" applyNumberFormat="1" applyFont="1" applyBorder="1" applyAlignment="1">
      <alignment horizontal="center"/>
    </xf>
    <xf numFmtId="0" fontId="56" fillId="0" borderId="46" xfId="0" applyFont="1" applyBorder="1"/>
    <xf numFmtId="0" fontId="59" fillId="0" borderId="45" xfId="0" applyFont="1" applyBorder="1" applyAlignment="1">
      <alignment horizontal="center"/>
    </xf>
    <xf numFmtId="37" fontId="56" fillId="0" borderId="45" xfId="0" applyNumberFormat="1" applyFont="1" applyBorder="1" applyAlignment="1">
      <alignment horizontal="center"/>
    </xf>
    <xf numFmtId="37" fontId="56" fillId="0" borderId="47" xfId="0" applyNumberFormat="1" applyFont="1" applyBorder="1" applyAlignment="1">
      <alignment horizontal="center"/>
    </xf>
    <xf numFmtId="0" fontId="19" fillId="0" borderId="7" xfId="0" applyFont="1" applyBorder="1"/>
    <xf numFmtId="37" fontId="19" fillId="0" borderId="7" xfId="0" applyNumberFormat="1" applyFont="1" applyBorder="1" applyAlignment="1">
      <alignment horizontal="center"/>
    </xf>
    <xf numFmtId="37" fontId="19" fillId="0" borderId="48" xfId="0" applyNumberFormat="1" applyFont="1" applyBorder="1" applyAlignment="1">
      <alignment horizontal="center"/>
    </xf>
    <xf numFmtId="0" fontId="19" fillId="0" borderId="49" xfId="0" applyFont="1" applyBorder="1"/>
    <xf numFmtId="0" fontId="57" fillId="10" borderId="12" xfId="0" applyFont="1" applyFill="1" applyBorder="1"/>
    <xf numFmtId="0" fontId="57" fillId="10" borderId="7" xfId="0" applyFont="1" applyFill="1" applyBorder="1"/>
    <xf numFmtId="37" fontId="57" fillId="10" borderId="7" xfId="0" applyNumberFormat="1" applyFont="1" applyFill="1" applyBorder="1" applyAlignment="1">
      <alignment horizontal="center"/>
    </xf>
    <xf numFmtId="37" fontId="57" fillId="10" borderId="48" xfId="0" applyNumberFormat="1" applyFont="1" applyFill="1" applyBorder="1" applyAlignment="1">
      <alignment horizontal="center"/>
    </xf>
    <xf numFmtId="1" fontId="56" fillId="0" borderId="6" xfId="0" applyNumberFormat="1" applyFont="1" applyBorder="1" applyAlignment="1">
      <alignment horizontal="center"/>
    </xf>
    <xf numFmtId="37" fontId="19" fillId="0" borderId="1" xfId="0" applyNumberFormat="1" applyFont="1" applyBorder="1" applyAlignment="1">
      <alignment horizontal="center"/>
    </xf>
    <xf numFmtId="37" fontId="57" fillId="0" borderId="1" xfId="0" applyNumberFormat="1" applyFont="1" applyBorder="1" applyAlignment="1">
      <alignment horizontal="center"/>
    </xf>
    <xf numFmtId="0" fontId="60" fillId="0" borderId="0" xfId="0" applyFont="1"/>
    <xf numFmtId="0" fontId="60" fillId="0" borderId="45" xfId="0" applyFont="1" applyBorder="1"/>
    <xf numFmtId="0" fontId="61" fillId="0" borderId="45" xfId="0" quotePrefix="1" applyFont="1" applyBorder="1" applyAlignment="1">
      <alignment horizontal="center"/>
    </xf>
    <xf numFmtId="0" fontId="60" fillId="0" borderId="0" xfId="0" applyFont="1" applyBorder="1"/>
    <xf numFmtId="0" fontId="62" fillId="0" borderId="0" xfId="0" applyFont="1" applyFill="1" applyBorder="1" applyAlignment="1">
      <alignment horizontal="center" vertical="center" wrapText="1"/>
    </xf>
    <xf numFmtId="0" fontId="63" fillId="17" borderId="7" xfId="0" applyFont="1" applyFill="1" applyBorder="1" applyAlignment="1">
      <alignment horizontal="left" vertical="center"/>
    </xf>
    <xf numFmtId="0" fontId="63" fillId="17" borderId="7" xfId="0" applyFont="1" applyFill="1" applyBorder="1" applyAlignment="1">
      <alignment horizontal="center" vertical="center" wrapText="1"/>
    </xf>
    <xf numFmtId="0" fontId="60" fillId="0" borderId="0" xfId="0" quotePrefix="1" applyFont="1"/>
    <xf numFmtId="0" fontId="65" fillId="0" borderId="0" xfId="0" applyFont="1" applyFill="1" applyBorder="1" applyAlignment="1"/>
    <xf numFmtId="10" fontId="65" fillId="0" borderId="0" xfId="0" applyNumberFormat="1" applyFont="1" applyFill="1" applyBorder="1" applyAlignment="1">
      <alignment horizontal="center"/>
    </xf>
    <xf numFmtId="4" fontId="65" fillId="0" borderId="0" xfId="0" applyNumberFormat="1" applyFont="1" applyFill="1" applyBorder="1" applyAlignment="1">
      <alignment horizontal="center"/>
    </xf>
    <xf numFmtId="173" fontId="65" fillId="0" borderId="0" xfId="0" applyNumberFormat="1" applyFont="1" applyAlignment="1">
      <alignment horizontal="center"/>
    </xf>
    <xf numFmtId="0" fontId="60" fillId="0" borderId="0" xfId="0" applyFont="1" applyFill="1"/>
    <xf numFmtId="173" fontId="65" fillId="0" borderId="0" xfId="2" applyNumberFormat="1" applyFont="1" applyFill="1" applyBorder="1" applyAlignment="1">
      <alignment horizontal="center"/>
    </xf>
    <xf numFmtId="173" fontId="60" fillId="0" borderId="0" xfId="0" applyNumberFormat="1" applyFont="1" applyFill="1"/>
    <xf numFmtId="185" fontId="65" fillId="0" borderId="0" xfId="0" applyNumberFormat="1" applyFont="1" applyFill="1" applyBorder="1" applyAlignment="1">
      <alignment horizontal="center"/>
    </xf>
    <xf numFmtId="0" fontId="67" fillId="0" borderId="6" xfId="0" applyFont="1" applyFill="1" applyBorder="1" applyAlignment="1"/>
    <xf numFmtId="10" fontId="67" fillId="0" borderId="6" xfId="0" applyNumberFormat="1" applyFont="1" applyFill="1" applyBorder="1" applyAlignment="1">
      <alignment horizontal="center"/>
    </xf>
    <xf numFmtId="173" fontId="60" fillId="0" borderId="0" xfId="0" applyNumberFormat="1" applyFont="1"/>
    <xf numFmtId="0" fontId="65" fillId="0" borderId="0" xfId="0" applyFont="1" applyFill="1" applyBorder="1" applyAlignment="1">
      <alignment vertical="center"/>
    </xf>
    <xf numFmtId="10" fontId="65" fillId="0" borderId="0" xfId="0" applyNumberFormat="1" applyFont="1" applyFill="1" applyBorder="1" applyAlignment="1">
      <alignment horizontal="center" vertical="center"/>
    </xf>
    <xf numFmtId="0" fontId="65" fillId="0" borderId="6" xfId="0" applyFont="1" applyFill="1" applyBorder="1" applyAlignment="1"/>
    <xf numFmtId="0" fontId="60" fillId="0" borderId="0" xfId="0" applyFont="1" applyAlignment="1">
      <alignment horizontal="center"/>
    </xf>
    <xf numFmtId="0" fontId="63" fillId="17" borderId="6" xfId="0" applyFont="1" applyFill="1" applyBorder="1" applyAlignment="1">
      <alignment horizontal="left" vertical="center"/>
    </xf>
    <xf numFmtId="0" fontId="63" fillId="17" borderId="6" xfId="0" applyFont="1" applyFill="1" applyBorder="1" applyAlignment="1">
      <alignment horizontal="center" vertical="center" wrapText="1"/>
    </xf>
    <xf numFmtId="0" fontId="60" fillId="0" borderId="0" xfId="0" applyFont="1" applyBorder="1" applyAlignment="1">
      <alignment horizontal="center"/>
    </xf>
    <xf numFmtId="0" fontId="62" fillId="0" borderId="6" xfId="0" applyFont="1" applyBorder="1"/>
    <xf numFmtId="0" fontId="67" fillId="0" borderId="0" xfId="0" applyFont="1" applyFill="1" applyBorder="1" applyAlignment="1"/>
    <xf numFmtId="10" fontId="67" fillId="0" borderId="0" xfId="0" applyNumberFormat="1" applyFont="1" applyFill="1" applyBorder="1" applyAlignment="1">
      <alignment horizontal="center"/>
    </xf>
    <xf numFmtId="0" fontId="70" fillId="0" borderId="0" xfId="0" applyFont="1"/>
    <xf numFmtId="0" fontId="66" fillId="0" borderId="0" xfId="0" applyFont="1" applyFill="1" applyBorder="1" applyAlignment="1"/>
    <xf numFmtId="0" fontId="20" fillId="0" borderId="22" xfId="0" applyFont="1" applyBorder="1" applyAlignment="1">
      <alignment horizontal="center" vertical="center" wrapText="1"/>
    </xf>
    <xf numFmtId="0" fontId="4" fillId="0" borderId="1" xfId="32" applyBorder="1"/>
    <xf numFmtId="0" fontId="43" fillId="3" borderId="1" xfId="32" applyFont="1" applyFill="1" applyBorder="1" applyAlignment="1">
      <alignment vertical="center"/>
    </xf>
    <xf numFmtId="17" fontId="40" fillId="0" borderId="1" xfId="32" applyNumberFormat="1" applyFont="1" applyFill="1" applyBorder="1" applyAlignment="1">
      <alignment horizontal="center" vertical="center"/>
    </xf>
    <xf numFmtId="17" fontId="40" fillId="0" borderId="1" xfId="32" applyNumberFormat="1" applyFont="1" applyFill="1" applyBorder="1" applyAlignment="1">
      <alignment vertical="center"/>
    </xf>
    <xf numFmtId="0" fontId="7" fillId="3" borderId="1" xfId="32" applyFont="1" applyFill="1" applyBorder="1" applyAlignment="1">
      <alignment horizontal="center" vertical="center"/>
    </xf>
    <xf numFmtId="0" fontId="7" fillId="3" borderId="1" xfId="32" applyFont="1" applyFill="1" applyBorder="1" applyAlignment="1">
      <alignment vertical="center"/>
    </xf>
    <xf numFmtId="172" fontId="17" fillId="3" borderId="1" xfId="32" applyNumberFormat="1" applyFont="1" applyFill="1" applyBorder="1" applyAlignment="1">
      <alignment vertical="center"/>
    </xf>
    <xf numFmtId="173" fontId="17" fillId="3" borderId="1" xfId="27" applyNumberFormat="1" applyFont="1" applyFill="1" applyBorder="1" applyAlignment="1">
      <alignment horizontal="right" vertical="center"/>
    </xf>
    <xf numFmtId="0" fontId="43" fillId="3" borderId="1" xfId="32" applyFont="1" applyFill="1" applyBorder="1" applyAlignment="1">
      <alignment horizontal="center" vertical="center"/>
    </xf>
    <xf numFmtId="167" fontId="42" fillId="3" borderId="1" xfId="1" applyFont="1" applyFill="1" applyBorder="1" applyAlignment="1">
      <alignment vertical="center"/>
    </xf>
    <xf numFmtId="172" fontId="42" fillId="3" borderId="1" xfId="33" applyNumberFormat="1" applyFont="1" applyFill="1" applyBorder="1" applyAlignment="1">
      <alignment vertical="center"/>
    </xf>
    <xf numFmtId="173" fontId="42" fillId="3" borderId="1" xfId="27" applyNumberFormat="1" applyFont="1" applyFill="1" applyBorder="1" applyAlignment="1">
      <alignment horizontal="right" vertical="center"/>
    </xf>
    <xf numFmtId="0" fontId="42" fillId="3" borderId="1" xfId="32" applyFont="1" applyFill="1" applyBorder="1" applyAlignment="1">
      <alignment vertical="center"/>
    </xf>
    <xf numFmtId="0" fontId="4" fillId="3" borderId="1" xfId="32" applyFill="1" applyBorder="1" applyAlignment="1">
      <alignment vertical="center"/>
    </xf>
    <xf numFmtId="167" fontId="42" fillId="0" borderId="1" xfId="1" applyFont="1" applyFill="1" applyBorder="1" applyAlignment="1">
      <alignment vertical="center"/>
    </xf>
    <xf numFmtId="172" fontId="44" fillId="0" borderId="1" xfId="33" applyNumberFormat="1" applyFont="1" applyFill="1" applyBorder="1" applyAlignment="1">
      <alignment vertical="center"/>
    </xf>
    <xf numFmtId="169" fontId="44" fillId="3" borderId="1" xfId="33" applyNumberFormat="1" applyFont="1" applyFill="1" applyBorder="1" applyAlignment="1">
      <alignment vertical="center"/>
    </xf>
    <xf numFmtId="0" fontId="42" fillId="3" borderId="1" xfId="32" applyFont="1" applyFill="1" applyBorder="1" applyAlignment="1">
      <alignment horizontal="left" vertical="center"/>
    </xf>
    <xf numFmtId="0" fontId="4" fillId="3" borderId="1" xfId="32" applyFont="1" applyFill="1" applyBorder="1" applyAlignment="1">
      <alignment vertical="center"/>
    </xf>
    <xf numFmtId="0" fontId="4" fillId="0" borderId="1" xfId="32" applyBorder="1" applyAlignment="1">
      <alignment horizontal="center" vertical="center"/>
    </xf>
    <xf numFmtId="172" fontId="44" fillId="3" borderId="1" xfId="33" applyNumberFormat="1" applyFont="1" applyFill="1" applyBorder="1" applyAlignment="1">
      <alignment vertical="center"/>
    </xf>
    <xf numFmtId="0" fontId="5" fillId="3" borderId="1" xfId="32" applyFont="1" applyFill="1" applyBorder="1" applyAlignment="1">
      <alignment vertical="center"/>
    </xf>
    <xf numFmtId="0" fontId="5" fillId="3" borderId="1" xfId="32" applyFont="1" applyFill="1" applyBorder="1" applyAlignment="1">
      <alignment horizontal="center" vertical="center"/>
    </xf>
    <xf numFmtId="172" fontId="17" fillId="5" borderId="1" xfId="33" applyNumberFormat="1" applyFont="1" applyFill="1" applyBorder="1" applyAlignment="1">
      <alignment vertical="center"/>
    </xf>
    <xf numFmtId="9" fontId="17" fillId="5" borderId="1" xfId="2" applyFont="1" applyFill="1" applyBorder="1" applyAlignment="1">
      <alignment vertical="center"/>
    </xf>
    <xf numFmtId="17" fontId="41" fillId="0" borderId="1" xfId="32" applyNumberFormat="1" applyFont="1" applyFill="1" applyBorder="1" applyAlignment="1">
      <alignment horizontal="center" vertical="center"/>
    </xf>
    <xf numFmtId="17" fontId="41" fillId="0" borderId="1" xfId="32" applyNumberFormat="1" applyFont="1" applyFill="1" applyBorder="1" applyAlignment="1">
      <alignment horizontal="justify" vertical="justify"/>
    </xf>
    <xf numFmtId="0" fontId="4" fillId="3" borderId="1" xfId="32" applyFont="1" applyFill="1" applyBorder="1" applyAlignment="1">
      <alignment horizontal="center" vertical="center"/>
    </xf>
    <xf numFmtId="0" fontId="43" fillId="3" borderId="0" xfId="32" applyFont="1" applyFill="1" applyBorder="1" applyAlignment="1">
      <alignment vertical="center"/>
    </xf>
    <xf numFmtId="0" fontId="2" fillId="0" borderId="0" xfId="23" applyFont="1"/>
    <xf numFmtId="0" fontId="1" fillId="0" borderId="0" xfId="23"/>
    <xf numFmtId="0" fontId="4" fillId="0" borderId="0" xfId="39" applyAlignment="1">
      <alignment horizontal="center"/>
    </xf>
    <xf numFmtId="10" fontId="42" fillId="0" borderId="1" xfId="39" applyNumberFormat="1" applyFont="1" applyBorder="1" applyAlignment="1">
      <alignment horizontal="center" vertical="center"/>
    </xf>
    <xf numFmtId="0" fontId="42" fillId="0" borderId="1" xfId="39" applyFont="1" applyBorder="1" applyAlignment="1">
      <alignment horizontal="center" vertical="justify"/>
    </xf>
    <xf numFmtId="0" fontId="42" fillId="0" borderId="1" xfId="39" applyFont="1" applyBorder="1" applyAlignment="1">
      <alignment horizontal="center" vertical="center"/>
    </xf>
    <xf numFmtId="0" fontId="4" fillId="0" borderId="1" xfId="39" applyFont="1" applyBorder="1" applyAlignment="1">
      <alignment horizontal="center" vertical="center" wrapText="1"/>
    </xf>
    <xf numFmtId="0" fontId="4" fillId="0" borderId="5" xfId="39" applyFont="1" applyBorder="1" applyAlignment="1">
      <alignment horizontal="center" vertical="center"/>
    </xf>
    <xf numFmtId="186" fontId="42" fillId="0" borderId="1" xfId="39" applyNumberFormat="1" applyFont="1" applyBorder="1" applyAlignment="1">
      <alignment horizontal="center"/>
    </xf>
    <xf numFmtId="186" fontId="42" fillId="0" borderId="1" xfId="39" applyNumberFormat="1" applyFont="1" applyBorder="1"/>
    <xf numFmtId="9" fontId="42" fillId="0" borderId="1" xfId="2" applyFont="1" applyBorder="1" applyAlignment="1">
      <alignment horizontal="center"/>
    </xf>
    <xf numFmtId="10" fontId="4" fillId="0" borderId="1" xfId="39" applyNumberFormat="1" applyBorder="1" applyAlignment="1">
      <alignment horizontal="center"/>
    </xf>
    <xf numFmtId="3" fontId="5" fillId="0" borderId="5" xfId="39" applyNumberFormat="1" applyFont="1" applyFill="1" applyBorder="1" applyAlignment="1">
      <alignment horizontal="center" vertical="center"/>
    </xf>
    <xf numFmtId="0" fontId="5" fillId="0" borderId="0" xfId="39" applyFont="1" applyAlignment="1"/>
    <xf numFmtId="0" fontId="4" fillId="0" borderId="0" xfId="39" applyFont="1" applyAlignment="1"/>
    <xf numFmtId="172" fontId="42" fillId="0" borderId="0" xfId="20" applyNumberFormat="1" applyFont="1"/>
    <xf numFmtId="10" fontId="4" fillId="0" borderId="0" xfId="39" applyNumberFormat="1" applyBorder="1" applyAlignment="1">
      <alignment horizontal="center"/>
    </xf>
    <xf numFmtId="0" fontId="4" fillId="0" borderId="0" xfId="39"/>
    <xf numFmtId="169" fontId="5" fillId="0" borderId="1" xfId="39" applyNumberFormat="1" applyFont="1" applyFill="1" applyBorder="1" applyAlignment="1">
      <alignment horizontal="center" vertical="center"/>
    </xf>
    <xf numFmtId="0" fontId="42" fillId="0" borderId="0" xfId="20" applyFont="1" applyAlignment="1">
      <alignment horizontal="center"/>
    </xf>
    <xf numFmtId="0" fontId="4" fillId="0" borderId="0" xfId="39" applyBorder="1" applyAlignment="1">
      <alignment horizontal="center"/>
    </xf>
    <xf numFmtId="0" fontId="42" fillId="0" borderId="1" xfId="39" applyFont="1" applyBorder="1" applyAlignment="1">
      <alignment horizontal="center"/>
    </xf>
    <xf numFmtId="169" fontId="5" fillId="0" borderId="0" xfId="39" applyNumberFormat="1" applyFont="1" applyFill="1" applyBorder="1" applyAlignment="1">
      <alignment horizontal="center" vertical="center"/>
    </xf>
    <xf numFmtId="172" fontId="42" fillId="0" borderId="1" xfId="39" applyNumberFormat="1" applyFont="1" applyBorder="1" applyAlignment="1">
      <alignment horizontal="center"/>
    </xf>
    <xf numFmtId="0" fontId="4" fillId="0" borderId="0" xfId="39" applyBorder="1" applyAlignment="1"/>
    <xf numFmtId="4" fontId="42" fillId="0" borderId="0" xfId="20" applyNumberFormat="1" applyFont="1" applyBorder="1" applyAlignment="1">
      <alignment horizontal="center"/>
    </xf>
    <xf numFmtId="166" fontId="5" fillId="0" borderId="1" xfId="37" applyFont="1" applyFill="1" applyBorder="1" applyAlignment="1">
      <alignment horizontal="center" vertical="center"/>
    </xf>
    <xf numFmtId="172" fontId="5" fillId="0" borderId="1" xfId="37" applyNumberFormat="1" applyFont="1" applyFill="1" applyBorder="1" applyAlignment="1">
      <alignment horizontal="center" vertical="center"/>
    </xf>
    <xf numFmtId="0" fontId="4" fillId="0" borderId="0" xfId="39" applyBorder="1"/>
    <xf numFmtId="0" fontId="4" fillId="0" borderId="0" xfId="39" applyBorder="1" applyAlignment="1">
      <alignment vertical="center" wrapText="1"/>
    </xf>
    <xf numFmtId="0" fontId="4" fillId="0" borderId="0" xfId="39" applyBorder="1" applyAlignment="1">
      <alignment wrapText="1"/>
    </xf>
    <xf numFmtId="4" fontId="42" fillId="0" borderId="0" xfId="20" applyNumberFormat="1" applyFont="1" applyBorder="1" applyAlignment="1">
      <alignment horizontal="center" vertical="center"/>
    </xf>
    <xf numFmtId="169" fontId="14" fillId="0" borderId="1" xfId="39" applyNumberFormat="1" applyFont="1" applyFill="1" applyBorder="1" applyAlignment="1">
      <alignment horizontal="center" vertical="center"/>
    </xf>
    <xf numFmtId="0" fontId="14" fillId="0" borderId="1" xfId="39" applyFont="1" applyBorder="1" applyAlignment="1">
      <alignment horizontal="center"/>
    </xf>
    <xf numFmtId="166" fontId="14" fillId="0" borderId="1" xfId="37" applyFont="1" applyFill="1" applyBorder="1" applyAlignment="1">
      <alignment horizontal="center" vertical="center"/>
    </xf>
    <xf numFmtId="0" fontId="71" fillId="0" borderId="50" xfId="39" applyFont="1" applyBorder="1" applyAlignment="1">
      <alignment horizontal="center" vertical="center" wrapText="1"/>
    </xf>
    <xf numFmtId="0" fontId="71" fillId="0" borderId="50" xfId="39" applyFont="1" applyBorder="1" applyAlignment="1">
      <alignment horizontal="left" vertical="center" wrapText="1"/>
    </xf>
    <xf numFmtId="0" fontId="4" fillId="0" borderId="50" xfId="39" applyFont="1" applyBorder="1" applyAlignment="1">
      <alignment wrapText="1"/>
    </xf>
    <xf numFmtId="165" fontId="42" fillId="0" borderId="50" xfId="39" applyNumberFormat="1" applyFont="1" applyBorder="1" applyAlignment="1">
      <alignment wrapText="1"/>
    </xf>
    <xf numFmtId="0" fontId="4" fillId="0" borderId="50" xfId="39" applyFont="1" applyBorder="1" applyAlignment="1">
      <alignment horizontal="center" wrapText="1"/>
    </xf>
    <xf numFmtId="0" fontId="4" fillId="0" borderId="0" xfId="39" applyFont="1"/>
    <xf numFmtId="0" fontId="15" fillId="3" borderId="0" xfId="20" applyFont="1" applyFill="1" applyBorder="1" applyAlignment="1">
      <alignment vertical="center"/>
    </xf>
    <xf numFmtId="43" fontId="16" fillId="0" borderId="1" xfId="36" applyNumberFormat="1" applyFont="1" applyFill="1" applyBorder="1" applyAlignment="1">
      <alignment horizontal="justify" vertical="center"/>
    </xf>
    <xf numFmtId="173" fontId="30" fillId="0" borderId="1" xfId="2" applyNumberFormat="1" applyFont="1" applyFill="1" applyBorder="1" applyAlignment="1">
      <alignment horizontal="center"/>
    </xf>
    <xf numFmtId="0" fontId="5" fillId="3" borderId="23" xfId="32" applyFont="1" applyFill="1" applyBorder="1" applyAlignment="1">
      <alignment horizontal="center" vertical="center"/>
    </xf>
    <xf numFmtId="172" fontId="17" fillId="5" borderId="23" xfId="33" applyNumberFormat="1" applyFont="1" applyFill="1" applyBorder="1" applyAlignment="1">
      <alignment vertical="center"/>
    </xf>
    <xf numFmtId="9" fontId="17" fillId="5" borderId="23" xfId="2" applyFont="1" applyFill="1" applyBorder="1" applyAlignment="1">
      <alignment vertical="center"/>
    </xf>
    <xf numFmtId="169" fontId="42" fillId="0" borderId="1" xfId="33" applyNumberFormat="1" applyFont="1" applyFill="1" applyBorder="1" applyAlignment="1">
      <alignment vertical="center"/>
    </xf>
    <xf numFmtId="0" fontId="43" fillId="3" borderId="1" xfId="32" applyFont="1" applyFill="1" applyBorder="1" applyAlignment="1">
      <alignment vertical="center" wrapText="1"/>
    </xf>
    <xf numFmtId="0" fontId="43" fillId="0" borderId="1" xfId="32" applyFont="1" applyFill="1" applyBorder="1" applyAlignment="1">
      <alignment vertical="center"/>
    </xf>
    <xf numFmtId="173" fontId="4" fillId="3" borderId="1" xfId="32" applyNumberFormat="1" applyFill="1" applyBorder="1" applyAlignment="1">
      <alignment vertical="center"/>
    </xf>
    <xf numFmtId="173" fontId="4" fillId="0" borderId="1" xfId="32" applyNumberFormat="1" applyBorder="1"/>
    <xf numFmtId="0" fontId="4" fillId="0" borderId="1" xfId="32" applyFont="1" applyFill="1" applyBorder="1" applyAlignment="1">
      <alignment horizontal="left" vertical="center" indent="4"/>
    </xf>
    <xf numFmtId="0" fontId="4" fillId="0" borderId="1" xfId="32" applyFont="1" applyFill="1" applyBorder="1" applyAlignment="1">
      <alignment horizontal="center" vertical="center"/>
    </xf>
    <xf numFmtId="9" fontId="42" fillId="3" borderId="1" xfId="2" applyFont="1" applyFill="1" applyBorder="1" applyAlignment="1">
      <alignment vertical="center"/>
    </xf>
    <xf numFmtId="4" fontId="42" fillId="0" borderId="1" xfId="20" applyNumberFormat="1" applyFont="1" applyBorder="1" applyAlignment="1"/>
    <xf numFmtId="172" fontId="42" fillId="0" borderId="1" xfId="20" applyNumberFormat="1" applyFont="1" applyBorder="1"/>
    <xf numFmtId="172" fontId="42" fillId="0" borderId="1" xfId="20" applyNumberFormat="1" applyFont="1" applyBorder="1" applyAlignment="1">
      <alignment vertical="center"/>
    </xf>
    <xf numFmtId="0" fontId="42" fillId="0" borderId="1" xfId="39" applyFont="1" applyBorder="1" applyAlignment="1">
      <alignment horizontal="justify" vertical="center"/>
    </xf>
    <xf numFmtId="0" fontId="42" fillId="0" borderId="1" xfId="39" applyFont="1" applyFill="1" applyBorder="1"/>
    <xf numFmtId="0" fontId="42" fillId="0" borderId="1" xfId="39" applyFont="1" applyBorder="1"/>
    <xf numFmtId="0" fontId="4" fillId="0" borderId="1" xfId="39" applyBorder="1"/>
    <xf numFmtId="0" fontId="4" fillId="0" borderId="1" xfId="39" applyBorder="1" applyAlignment="1">
      <alignment horizontal="center"/>
    </xf>
    <xf numFmtId="4" fontId="42" fillId="0" borderId="1" xfId="20" applyNumberFormat="1" applyFont="1" applyBorder="1" applyAlignment="1">
      <alignment vertical="center"/>
    </xf>
    <xf numFmtId="172" fontId="42" fillId="0" borderId="1" xfId="20" applyNumberFormat="1" applyFont="1" applyFill="1" applyBorder="1"/>
    <xf numFmtId="172" fontId="42" fillId="0" borderId="1" xfId="20" applyNumberFormat="1" applyFont="1" applyBorder="1" applyAlignment="1">
      <alignment horizontal="right" vertical="center"/>
    </xf>
    <xf numFmtId="0" fontId="4" fillId="0" borderId="1" xfId="39" applyFont="1" applyFill="1" applyBorder="1"/>
    <xf numFmtId="0" fontId="4" fillId="0" borderId="1" xfId="39" applyFill="1" applyBorder="1" applyAlignment="1">
      <alignment horizontal="center"/>
    </xf>
    <xf numFmtId="0" fontId="4" fillId="0" borderId="1" xfId="39" applyFont="1" applyFill="1" applyBorder="1" applyAlignment="1">
      <alignment horizontal="center"/>
    </xf>
    <xf numFmtId="0" fontId="4" fillId="0" borderId="1" xfId="39" applyFill="1" applyBorder="1" applyAlignment="1">
      <alignment horizontal="center" vertical="center"/>
    </xf>
    <xf numFmtId="10" fontId="0" fillId="0" borderId="1" xfId="0" applyNumberFormat="1" applyBorder="1"/>
    <xf numFmtId="177" fontId="2" fillId="0" borderId="1" xfId="0" applyNumberFormat="1" applyFont="1" applyBorder="1" applyAlignment="1">
      <alignment horizontal="center"/>
    </xf>
    <xf numFmtId="177" fontId="2" fillId="0" borderId="1" xfId="3" applyNumberFormat="1" applyFont="1" applyBorder="1"/>
    <xf numFmtId="0" fontId="0" fillId="6" borderId="1" xfId="0" applyFont="1" applyFill="1" applyBorder="1" applyAlignment="1"/>
    <xf numFmtId="166" fontId="0" fillId="6" borderId="1" xfId="7" applyNumberFormat="1" applyFont="1" applyFill="1" applyBorder="1"/>
    <xf numFmtId="177" fontId="0" fillId="6" borderId="1" xfId="3" applyNumberFormat="1" applyFont="1" applyFill="1" applyBorder="1"/>
    <xf numFmtId="0" fontId="2" fillId="0" borderId="1" xfId="23" applyFont="1" applyBorder="1"/>
    <xf numFmtId="0" fontId="1" fillId="0" borderId="1" xfId="23" applyBorder="1"/>
    <xf numFmtId="0" fontId="1" fillId="4" borderId="1" xfId="23" applyFill="1" applyBorder="1"/>
    <xf numFmtId="0" fontId="2" fillId="4" borderId="1" xfId="23" applyFont="1" applyFill="1" applyBorder="1" applyAlignment="1">
      <alignment horizontal="center"/>
    </xf>
    <xf numFmtId="0" fontId="1" fillId="0" borderId="1" xfId="23" applyBorder="1" applyAlignment="1">
      <alignment horizontal="center" vertical="center"/>
    </xf>
    <xf numFmtId="10" fontId="0" fillId="0" borderId="1" xfId="38" applyNumberFormat="1" applyFont="1" applyBorder="1"/>
    <xf numFmtId="0" fontId="1" fillId="0" borderId="1" xfId="23" applyBorder="1" applyAlignment="1">
      <alignment horizontal="left" vertical="center" wrapText="1"/>
    </xf>
    <xf numFmtId="0" fontId="2" fillId="4" borderId="1" xfId="23" applyFont="1" applyFill="1" applyBorder="1"/>
    <xf numFmtId="10" fontId="2" fillId="4" borderId="1" xfId="38" applyNumberFormat="1" applyFont="1" applyFill="1" applyBorder="1"/>
    <xf numFmtId="10" fontId="4" fillId="0" borderId="1" xfId="29" applyNumberFormat="1" applyFont="1" applyBorder="1"/>
    <xf numFmtId="10" fontId="0" fillId="0" borderId="1" xfId="29" applyNumberFormat="1" applyFont="1" applyBorder="1"/>
    <xf numFmtId="0" fontId="1" fillId="0" borderId="1" xfId="23" applyFont="1" applyBorder="1" applyAlignment="1">
      <alignment vertical="center" wrapText="1"/>
    </xf>
    <xf numFmtId="10" fontId="2" fillId="4" borderId="1" xfId="23" applyNumberFormat="1" applyFont="1" applyFill="1" applyBorder="1"/>
    <xf numFmtId="0" fontId="1" fillId="0" borderId="1" xfId="23" applyFont="1" applyBorder="1"/>
    <xf numFmtId="0" fontId="1" fillId="18" borderId="1" xfId="23" applyFill="1" applyBorder="1"/>
    <xf numFmtId="0" fontId="2" fillId="18" borderId="1" xfId="23" applyFont="1" applyFill="1" applyBorder="1"/>
    <xf numFmtId="10" fontId="2" fillId="18" borderId="1" xfId="23" applyNumberFormat="1" applyFont="1" applyFill="1" applyBorder="1"/>
    <xf numFmtId="0" fontId="1" fillId="0" borderId="1" xfId="23" applyBorder="1" applyAlignment="1">
      <alignment vertical="center" wrapText="1"/>
    </xf>
    <xf numFmtId="177" fontId="0" fillId="0" borderId="1" xfId="0" applyNumberFormat="1" applyFont="1" applyBorder="1" applyAlignment="1">
      <alignment horizontal="center"/>
    </xf>
    <xf numFmtId="177" fontId="0" fillId="0" borderId="1" xfId="0" applyNumberFormat="1" applyFont="1" applyBorder="1"/>
    <xf numFmtId="0" fontId="24" fillId="2" borderId="1" xfId="0" applyFont="1" applyFill="1" applyBorder="1"/>
    <xf numFmtId="10" fontId="0" fillId="0" borderId="1" xfId="2" applyNumberFormat="1" applyFont="1" applyBorder="1"/>
    <xf numFmtId="177" fontId="0" fillId="0" borderId="1" xfId="3" applyNumberFormat="1" applyFont="1" applyBorder="1"/>
    <xf numFmtId="0" fontId="0" fillId="0" borderId="1" xfId="0" applyFont="1" applyFill="1" applyBorder="1" applyAlignment="1"/>
    <xf numFmtId="165" fontId="0" fillId="0" borderId="1" xfId="7" applyNumberFormat="1" applyFont="1" applyFill="1" applyBorder="1"/>
    <xf numFmtId="177" fontId="0" fillId="0" borderId="1" xfId="3" applyNumberFormat="1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177" fontId="2" fillId="0" borderId="1" xfId="0" applyNumberFormat="1" applyFont="1" applyBorder="1" applyAlignment="1">
      <alignment horizontal="left"/>
    </xf>
    <xf numFmtId="0" fontId="0" fillId="0" borderId="1" xfId="0" applyFont="1" applyBorder="1"/>
    <xf numFmtId="165" fontId="0" fillId="0" borderId="1" xfId="0" applyNumberFormat="1" applyFont="1" applyBorder="1"/>
    <xf numFmtId="0" fontId="0" fillId="0" borderId="1" xfId="0" applyFont="1" applyFill="1" applyBorder="1"/>
    <xf numFmtId="0" fontId="0" fillId="0" borderId="1" xfId="0" applyFill="1" applyBorder="1"/>
    <xf numFmtId="165" fontId="0" fillId="0" borderId="1" xfId="0" applyNumberFormat="1" applyFont="1" applyFill="1" applyBorder="1"/>
    <xf numFmtId="0" fontId="0" fillId="6" borderId="1" xfId="0" applyFont="1" applyFill="1" applyBorder="1"/>
    <xf numFmtId="165" fontId="0" fillId="6" borderId="1" xfId="0" applyNumberFormat="1" applyFont="1" applyFill="1" applyBorder="1"/>
    <xf numFmtId="177" fontId="2" fillId="0" borderId="1" xfId="0" applyNumberFormat="1" applyFont="1" applyBorder="1" applyAlignment="1"/>
    <xf numFmtId="177" fontId="0" fillId="0" borderId="1" xfId="0" applyNumberFormat="1" applyFont="1" applyFill="1" applyBorder="1"/>
    <xf numFmtId="177" fontId="0" fillId="0" borderId="1" xfId="0" applyNumberFormat="1" applyFont="1" applyFill="1" applyBorder="1" applyAlignment="1">
      <alignment horizontal="center"/>
    </xf>
    <xf numFmtId="0" fontId="2" fillId="6" borderId="1" xfId="0" applyFont="1" applyFill="1" applyBorder="1"/>
    <xf numFmtId="165" fontId="2" fillId="6" borderId="1" xfId="0" applyNumberFormat="1" applyFont="1" applyFill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 wrapText="1"/>
    </xf>
    <xf numFmtId="187" fontId="0" fillId="0" borderId="0" xfId="0" applyNumberFormat="1"/>
    <xf numFmtId="9" fontId="0" fillId="0" borderId="0" xfId="2" applyFont="1"/>
    <xf numFmtId="166" fontId="0" fillId="0" borderId="0" xfId="37" applyFont="1"/>
    <xf numFmtId="0" fontId="2" fillId="0" borderId="51" xfId="0" applyFont="1" applyBorder="1" applyAlignment="1">
      <alignment horizontal="right"/>
    </xf>
    <xf numFmtId="0" fontId="0" fillId="0" borderId="9" xfId="0" applyBorder="1"/>
    <xf numFmtId="10" fontId="0" fillId="0" borderId="42" xfId="2" applyNumberFormat="1" applyFont="1" applyBorder="1"/>
    <xf numFmtId="17" fontId="0" fillId="0" borderId="10" xfId="0" applyNumberFormat="1" applyBorder="1"/>
    <xf numFmtId="10" fontId="0" fillId="0" borderId="53" xfId="2" applyNumberFormat="1" applyFont="1" applyBorder="1"/>
    <xf numFmtId="10" fontId="2" fillId="2" borderId="52" xfId="2" applyNumberFormat="1" applyFont="1" applyFill="1" applyBorder="1"/>
    <xf numFmtId="17" fontId="40" fillId="0" borderId="1" xfId="32" applyNumberFormat="1" applyFont="1" applyBorder="1" applyAlignment="1">
      <alignment vertical="center"/>
    </xf>
    <xf numFmtId="0" fontId="5" fillId="3" borderId="0" xfId="32" applyFont="1" applyFill="1" applyAlignment="1">
      <alignment vertical="center"/>
    </xf>
    <xf numFmtId="44" fontId="0" fillId="0" borderId="0" xfId="0" applyNumberFormat="1"/>
    <xf numFmtId="17" fontId="72" fillId="0" borderId="1" xfId="32" applyNumberFormat="1" applyFont="1" applyFill="1" applyBorder="1" applyAlignment="1">
      <alignment vertical="center"/>
    </xf>
    <xf numFmtId="9" fontId="5" fillId="0" borderId="6" xfId="27" applyFont="1" applyFill="1" applyBorder="1" applyAlignment="1">
      <alignment vertical="center"/>
    </xf>
    <xf numFmtId="166" fontId="16" fillId="0" borderId="1" xfId="7" applyFont="1" applyFill="1" applyBorder="1" applyAlignment="1">
      <alignment horizontal="justify" vertical="center"/>
    </xf>
    <xf numFmtId="0" fontId="5" fillId="0" borderId="4" xfId="32" applyFont="1" applyFill="1" applyBorder="1" applyAlignment="1">
      <alignment horizontal="center" vertical="center"/>
    </xf>
    <xf numFmtId="0" fontId="5" fillId="0" borderId="15" xfId="32" applyFont="1" applyFill="1" applyBorder="1" applyAlignment="1">
      <alignment horizontal="center" vertical="center"/>
    </xf>
    <xf numFmtId="0" fontId="5" fillId="0" borderId="16" xfId="32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5" fillId="0" borderId="1" xfId="32" applyFont="1" applyFill="1" applyBorder="1" applyAlignment="1">
      <alignment horizontal="center" vertical="center"/>
    </xf>
    <xf numFmtId="0" fontId="20" fillId="0" borderId="26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21" xfId="34" applyFont="1" applyBorder="1" applyAlignment="1">
      <alignment horizontal="center"/>
    </xf>
    <xf numFmtId="0" fontId="5" fillId="0" borderId="1" xfId="34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0" fillId="0" borderId="15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38" xfId="34" applyFont="1" applyBorder="1" applyAlignment="1">
      <alignment horizontal="center"/>
    </xf>
    <xf numFmtId="0" fontId="4" fillId="0" borderId="39" xfId="34" applyFont="1" applyBorder="1" applyAlignment="1">
      <alignment horizontal="center"/>
    </xf>
    <xf numFmtId="0" fontId="4" fillId="0" borderId="40" xfId="34" applyFont="1" applyBorder="1" applyAlignment="1">
      <alignment horizontal="center"/>
    </xf>
    <xf numFmtId="0" fontId="4" fillId="0" borderId="4" xfId="34" applyFont="1" applyBorder="1" applyAlignment="1">
      <alignment horizontal="center"/>
    </xf>
    <xf numFmtId="0" fontId="4" fillId="0" borderId="15" xfId="34" applyFont="1" applyBorder="1" applyAlignment="1">
      <alignment horizontal="center"/>
    </xf>
    <xf numFmtId="0" fontId="4" fillId="0" borderId="16" xfId="34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3" borderId="1" xfId="20" applyFont="1" applyFill="1" applyBorder="1" applyAlignment="1">
      <alignment horizontal="center" vertical="center"/>
    </xf>
    <xf numFmtId="0" fontId="14" fillId="3" borderId="0" xfId="20" applyFont="1" applyFill="1" applyAlignment="1">
      <alignment horizontal="center" vertical="center"/>
    </xf>
    <xf numFmtId="0" fontId="14" fillId="3" borderId="7" xfId="20" applyFont="1" applyFill="1" applyBorder="1" applyAlignment="1">
      <alignment horizontal="center" vertical="center"/>
    </xf>
    <xf numFmtId="0" fontId="5" fillId="3" borderId="5" xfId="20" applyFont="1" applyFill="1" applyBorder="1" applyAlignment="1">
      <alignment horizontal="center" vertical="center"/>
    </xf>
    <xf numFmtId="0" fontId="5" fillId="3" borderId="6" xfId="20" applyFont="1" applyFill="1" applyBorder="1" applyAlignment="1">
      <alignment horizontal="center" vertical="center"/>
    </xf>
    <xf numFmtId="0" fontId="5" fillId="3" borderId="3" xfId="20" applyFont="1" applyFill="1" applyBorder="1" applyAlignment="1">
      <alignment horizontal="center" vertical="center"/>
    </xf>
    <xf numFmtId="169" fontId="7" fillId="3" borderId="5" xfId="36" applyNumberFormat="1" applyFont="1" applyFill="1" applyBorder="1" applyAlignment="1">
      <alignment horizontal="center" vertical="center"/>
    </xf>
    <xf numFmtId="169" fontId="7" fillId="3" borderId="3" xfId="36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/>
    </xf>
    <xf numFmtId="0" fontId="14" fillId="0" borderId="4" xfId="39" applyFont="1" applyBorder="1" applyAlignment="1">
      <alignment horizontal="center"/>
    </xf>
    <xf numFmtId="0" fontId="14" fillId="0" borderId="15" xfId="39" applyFont="1" applyBorder="1" applyAlignment="1">
      <alignment horizontal="center"/>
    </xf>
    <xf numFmtId="0" fontId="14" fillId="0" borderId="16" xfId="39" applyFont="1" applyBorder="1" applyAlignment="1">
      <alignment horizontal="center"/>
    </xf>
    <xf numFmtId="0" fontId="17" fillId="0" borderId="7" xfId="39" applyFont="1" applyBorder="1" applyAlignment="1">
      <alignment horizontal="center"/>
    </xf>
    <xf numFmtId="0" fontId="5" fillId="0" borderId="1" xfId="39" applyFont="1" applyFill="1" applyBorder="1" applyAlignment="1">
      <alignment horizontal="center"/>
    </xf>
    <xf numFmtId="0" fontId="5" fillId="0" borderId="1" xfId="39" applyFont="1" applyFill="1" applyBorder="1" applyAlignment="1">
      <alignment horizontal="center" vertical="center"/>
    </xf>
    <xf numFmtId="0" fontId="4" fillId="0" borderId="1" xfId="39" applyFont="1" applyFill="1" applyBorder="1" applyAlignment="1">
      <alignment horizontal="center"/>
    </xf>
    <xf numFmtId="0" fontId="4" fillId="0" borderId="1" xfId="39" applyFont="1" applyFill="1" applyBorder="1" applyAlignment="1">
      <alignment horizontal="center" vertical="justify"/>
    </xf>
    <xf numFmtId="0" fontId="4" fillId="0" borderId="1" xfId="39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5" borderId="1" xfId="8" applyFill="1" applyBorder="1" applyAlignment="1">
      <alignment horizontal="center" vertical="top"/>
    </xf>
    <xf numFmtId="0" fontId="47" fillId="0" borderId="1" xfId="8" applyFont="1" applyFill="1" applyBorder="1" applyAlignment="1">
      <alignment horizontal="center" vertical="center" wrapText="1"/>
    </xf>
    <xf numFmtId="0" fontId="6" fillId="16" borderId="5" xfId="8" applyFill="1" applyBorder="1" applyAlignment="1">
      <alignment horizontal="center" vertical="top"/>
    </xf>
    <xf numFmtId="0" fontId="6" fillId="16" borderId="6" xfId="8" applyFill="1" applyBorder="1" applyAlignment="1">
      <alignment horizontal="center" vertical="top"/>
    </xf>
    <xf numFmtId="0" fontId="6" fillId="16" borderId="3" xfId="8" applyFill="1" applyBorder="1" applyAlignment="1">
      <alignment horizontal="center" vertical="top"/>
    </xf>
    <xf numFmtId="0" fontId="54" fillId="0" borderId="44" xfId="8" applyFont="1" applyFill="1" applyBorder="1" applyAlignment="1">
      <alignment horizontal="center" vertical="center" wrapText="1"/>
    </xf>
    <xf numFmtId="0" fontId="51" fillId="0" borderId="0" xfId="8" applyFont="1" applyFill="1" applyBorder="1" applyAlignment="1">
      <alignment horizontal="center" vertical="top" wrapText="1"/>
    </xf>
    <xf numFmtId="0" fontId="47" fillId="0" borderId="13" xfId="8" applyFont="1" applyFill="1" applyBorder="1" applyAlignment="1">
      <alignment horizontal="center" vertical="center" wrapText="1"/>
    </xf>
    <xf numFmtId="0" fontId="47" fillId="0" borderId="14" xfId="8" applyFont="1" applyFill="1" applyBorder="1" applyAlignment="1">
      <alignment horizontal="center" vertical="center" wrapText="1"/>
    </xf>
    <xf numFmtId="0" fontId="49" fillId="0" borderId="9" xfId="8" applyFont="1" applyFill="1" applyBorder="1" applyAlignment="1">
      <alignment horizontal="center" vertical="center" wrapText="1"/>
    </xf>
    <xf numFmtId="0" fontId="49" fillId="0" borderId="10" xfId="8" applyFont="1" applyFill="1" applyBorder="1" applyAlignment="1">
      <alignment horizontal="center" vertical="center" wrapText="1"/>
    </xf>
    <xf numFmtId="0" fontId="18" fillId="3" borderId="7" xfId="20" applyFont="1" applyFill="1" applyBorder="1" applyAlignment="1">
      <alignment horizontal="center" vertical="center"/>
    </xf>
    <xf numFmtId="3" fontId="4" fillId="0" borderId="0" xfId="20" applyNumberFormat="1" applyAlignment="1">
      <alignment horizontal="center" vertical="center"/>
    </xf>
    <xf numFmtId="3" fontId="31" fillId="0" borderId="0" xfId="20" applyNumberFormat="1" applyFont="1" applyAlignment="1">
      <alignment horizontal="center" vertical="center"/>
    </xf>
    <xf numFmtId="3" fontId="32" fillId="9" borderId="7" xfId="20" applyNumberFormat="1" applyFont="1" applyFill="1" applyBorder="1" applyAlignment="1">
      <alignment horizontal="center" vertical="center"/>
    </xf>
    <xf numFmtId="3" fontId="33" fillId="9" borderId="5" xfId="20" applyNumberFormat="1" applyFont="1" applyFill="1" applyBorder="1" applyAlignment="1">
      <alignment horizontal="center" vertical="center"/>
    </xf>
    <xf numFmtId="3" fontId="33" fillId="9" borderId="3" xfId="20" applyNumberFormat="1" applyFont="1" applyFill="1" applyBorder="1" applyAlignment="1">
      <alignment horizontal="center" vertical="center"/>
    </xf>
    <xf numFmtId="3" fontId="5" fillId="0" borderId="37" xfId="20" applyNumberFormat="1" applyFont="1" applyBorder="1" applyAlignment="1" applyProtection="1">
      <alignment horizontal="center" vertical="center"/>
    </xf>
    <xf numFmtId="3" fontId="5" fillId="0" borderId="2" xfId="20" applyNumberFormat="1" applyFont="1" applyBorder="1" applyAlignment="1" applyProtection="1">
      <alignment horizontal="center" vertical="center"/>
    </xf>
  </cellXfs>
  <cellStyles count="40">
    <cellStyle name="Comma0 - Estilo2" xfId="10" xr:uid="{00000000-0005-0000-0000-000000000000}"/>
    <cellStyle name="Comma0 - Estilo3" xfId="11" xr:uid="{00000000-0005-0000-0000-000001000000}"/>
    <cellStyle name="Comma1 - Estilo1" xfId="12" xr:uid="{00000000-0005-0000-0000-000002000000}"/>
    <cellStyle name="Currency 2" xfId="7" xr:uid="{00000000-0005-0000-0000-000003000000}"/>
    <cellStyle name="Euro" xfId="13" xr:uid="{00000000-0005-0000-0000-000004000000}"/>
    <cellStyle name="Excel Built-in Normal" xfId="14" xr:uid="{00000000-0005-0000-0000-000005000000}"/>
    <cellStyle name="Indefinido" xfId="15" xr:uid="{00000000-0005-0000-0000-000006000000}"/>
    <cellStyle name="Moeda" xfId="37" builtinId="4"/>
    <cellStyle name="Moeda 2" xfId="3" xr:uid="{00000000-0005-0000-0000-000008000000}"/>
    <cellStyle name="Moeda 2 2" xfId="35" xr:uid="{00000000-0005-0000-0000-000009000000}"/>
    <cellStyle name="Moeda 3" xfId="9" xr:uid="{00000000-0005-0000-0000-00000A000000}"/>
    <cellStyle name="MyCur" xfId="16" xr:uid="{00000000-0005-0000-0000-00000B000000}"/>
    <cellStyle name="MyCur2" xfId="17" xr:uid="{00000000-0005-0000-0000-00000C000000}"/>
    <cellStyle name="MyNumber" xfId="18" xr:uid="{00000000-0005-0000-0000-00000D000000}"/>
    <cellStyle name="MyPercent" xfId="19" xr:uid="{00000000-0005-0000-0000-00000E000000}"/>
    <cellStyle name="Normal" xfId="0" builtinId="0"/>
    <cellStyle name="Normal 2" xfId="20" xr:uid="{00000000-0005-0000-0000-000010000000}"/>
    <cellStyle name="Normal 2 3" xfId="21" xr:uid="{00000000-0005-0000-0000-000011000000}"/>
    <cellStyle name="Normal 3" xfId="22" xr:uid="{00000000-0005-0000-0000-000012000000}"/>
    <cellStyle name="Normal 4" xfId="23" xr:uid="{00000000-0005-0000-0000-000013000000}"/>
    <cellStyle name="Normal 5" xfId="24" xr:uid="{00000000-0005-0000-0000-000014000000}"/>
    <cellStyle name="Normal 6" xfId="8" xr:uid="{00000000-0005-0000-0000-000015000000}"/>
    <cellStyle name="Normal 7" xfId="32" xr:uid="{00000000-0005-0000-0000-000016000000}"/>
    <cellStyle name="Normal 8" xfId="34" xr:uid="{00000000-0005-0000-0000-000017000000}"/>
    <cellStyle name="Normal 9" xfId="39" xr:uid="{00000000-0005-0000-0000-000018000000}"/>
    <cellStyle name="Percen - Estilo1" xfId="25" xr:uid="{00000000-0005-0000-0000-000019000000}"/>
    <cellStyle name="Percen - Estilo2" xfId="26" xr:uid="{00000000-0005-0000-0000-00001A000000}"/>
    <cellStyle name="Porcentagem" xfId="2" builtinId="5"/>
    <cellStyle name="Porcentagem 2" xfId="5" xr:uid="{00000000-0005-0000-0000-00001C000000}"/>
    <cellStyle name="Porcentagem 3" xfId="4" xr:uid="{00000000-0005-0000-0000-00001D000000}"/>
    <cellStyle name="Porcentagem 3 2" xfId="38" xr:uid="{00000000-0005-0000-0000-00001E000000}"/>
    <cellStyle name="Porcentagem 4" xfId="27" xr:uid="{00000000-0005-0000-0000-00001F000000}"/>
    <cellStyle name="Separador de milhares 2" xfId="6" xr:uid="{00000000-0005-0000-0000-000020000000}"/>
    <cellStyle name="Separador de milhares 3" xfId="28" xr:uid="{00000000-0005-0000-0000-000021000000}"/>
    <cellStyle name="Separador de milhares 4" xfId="29" xr:uid="{00000000-0005-0000-0000-000022000000}"/>
    <cellStyle name="Separador de milhares 5" xfId="30" xr:uid="{00000000-0005-0000-0000-000023000000}"/>
    <cellStyle name="Separador de milhares 6" xfId="31" xr:uid="{00000000-0005-0000-0000-000024000000}"/>
    <cellStyle name="Separador de milhares 7" xfId="36" xr:uid="{00000000-0005-0000-0000-000025000000}"/>
    <cellStyle name="Vírgula" xfId="1" builtinId="3"/>
    <cellStyle name="Vírgula 2" xfId="33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FLUXO DE CAIXA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og"/>
            <c:dispRSqr val="0"/>
            <c:dispEq val="0"/>
          </c:trendline>
          <c:xVal>
            <c:numRef>
              <c:f>'Indicadores de rentabilidade'!$B$10:$AA$10</c:f>
              <c:numCache>
                <c:formatCode>#,##0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xVal>
          <c:yVal>
            <c:numRef>
              <c:f>'Indicadores de rentabilidade'!$B$14:$AA$14</c:f>
              <c:numCache>
                <c:formatCode>_("R$ "* #,##0_);_("R$ "* \(#,##0\);_("R$ "* "-"_);_(@_)</c:formatCode>
                <c:ptCount val="26"/>
                <c:pt idx="0">
                  <c:v>-25120949.728862964</c:v>
                </c:pt>
                <c:pt idx="1">
                  <c:v>-20633382.513042275</c:v>
                </c:pt>
                <c:pt idx="2">
                  <c:v>-16856951.897211056</c:v>
                </c:pt>
                <c:pt idx="3">
                  <c:v>-12745322.10544529</c:v>
                </c:pt>
                <c:pt idx="4">
                  <c:v>-8284175.1677252259</c:v>
                </c:pt>
                <c:pt idx="5">
                  <c:v>-3423902.205604339</c:v>
                </c:pt>
                <c:pt idx="6">
                  <c:v>1866268.8855196955</c:v>
                </c:pt>
                <c:pt idx="7">
                  <c:v>7633108.1653579986</c:v>
                </c:pt>
                <c:pt idx="8">
                  <c:v>13897147.864476107</c:v>
                </c:pt>
                <c:pt idx="9">
                  <c:v>20735750.71066815</c:v>
                </c:pt>
                <c:pt idx="10">
                  <c:v>28109795.912100323</c:v>
                </c:pt>
                <c:pt idx="11">
                  <c:v>31378825.154200234</c:v>
                </c:pt>
                <c:pt idx="12">
                  <c:v>39826343.617007114</c:v>
                </c:pt>
                <c:pt idx="13">
                  <c:v>49063706.797866881</c:v>
                </c:pt>
                <c:pt idx="14">
                  <c:v>59161297.736191913</c:v>
                </c:pt>
                <c:pt idx="15">
                  <c:v>70195497.767556027</c:v>
                </c:pt>
                <c:pt idx="16">
                  <c:v>82249209.101905063</c:v>
                </c:pt>
                <c:pt idx="17">
                  <c:v>95412377.258559093</c:v>
                </c:pt>
                <c:pt idx="18">
                  <c:v>109782585.30438294</c:v>
                </c:pt>
                <c:pt idx="19">
                  <c:v>125465679.7955514</c:v>
                </c:pt>
                <c:pt idx="20">
                  <c:v>142576461.78314099</c:v>
                </c:pt>
                <c:pt idx="21">
                  <c:v>161148968.71896333</c:v>
                </c:pt>
                <c:pt idx="22">
                  <c:v>181408625.45941803</c:v>
                </c:pt>
                <c:pt idx="23">
                  <c:v>203501769.90819323</c:v>
                </c:pt>
                <c:pt idx="24">
                  <c:v>227587021.20234871</c:v>
                </c:pt>
                <c:pt idx="25">
                  <c:v>263499375.9156363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515-4FB8-93CC-AB9D54B16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657728"/>
        <c:axId val="89659264"/>
      </c:scatterChart>
      <c:valAx>
        <c:axId val="89657728"/>
        <c:scaling>
          <c:orientation val="minMax"/>
          <c:max val="25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659264"/>
        <c:crosses val="autoZero"/>
        <c:crossBetween val="midCat"/>
        <c:majorUnit val="1"/>
        <c:minorUnit val="1.0000000000000005E-2"/>
      </c:valAx>
      <c:valAx>
        <c:axId val="8965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 &quot;* #,##0_);_(&quot;R$ &quot;* \(#,##0\);_(&quot;R$ &quot;* &quot;-&quot;_);_(@_)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9657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247" footer="0.314960620000002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'Indicadores de rentabilidade'!$B$16</c:f>
              <c:strCache>
                <c:ptCount val="1"/>
                <c:pt idx="0">
                  <c:v>TIR</c:v>
                </c:pt>
              </c:strCache>
            </c:strRef>
          </c:tx>
          <c:marker>
            <c:symbol val="none"/>
          </c:marker>
          <c:cat>
            <c:numRef>
              <c:f>'Indicadores de rentabilidade'!$D$17:$D$21</c:f>
              <c:numCache>
                <c:formatCode>General</c:formatCode>
                <c:ptCount val="5"/>
                <c:pt idx="0">
                  <c:v>25</c:v>
                </c:pt>
                <c:pt idx="1">
                  <c:v>20</c:v>
                </c:pt>
                <c:pt idx="2">
                  <c:v>15</c:v>
                </c:pt>
                <c:pt idx="3">
                  <c:v>10</c:v>
                </c:pt>
                <c:pt idx="4">
                  <c:v>5</c:v>
                </c:pt>
              </c:numCache>
            </c:numRef>
          </c:cat>
          <c:val>
            <c:numRef>
              <c:f>'Indicadores de rentabilidade'!$B$17:$B$21</c:f>
              <c:numCache>
                <c:formatCode>0.0%</c:formatCode>
                <c:ptCount val="5"/>
                <c:pt idx="0">
                  <c:v>0.21941205382632378</c:v>
                </c:pt>
                <c:pt idx="1">
                  <c:v>0.21036255333463072</c:v>
                </c:pt>
                <c:pt idx="2">
                  <c:v>0.19045418324225039</c:v>
                </c:pt>
                <c:pt idx="3">
                  <c:v>0.14603141899320682</c:v>
                </c:pt>
                <c:pt idx="4">
                  <c:v>-4.594743247696742E-2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8-493E-9C9D-A8BC11C0A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696512"/>
        <c:axId val="89702400"/>
      </c:lineChart>
      <c:catAx>
        <c:axId val="8969651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crossAx val="89702400"/>
        <c:crosses val="autoZero"/>
        <c:auto val="1"/>
        <c:lblAlgn val="ctr"/>
        <c:lblOffset val="100"/>
        <c:noMultiLvlLbl val="0"/>
      </c:catAx>
      <c:valAx>
        <c:axId val="89702400"/>
        <c:scaling>
          <c:orientation val="minMax"/>
        </c:scaling>
        <c:delete val="0"/>
        <c:axPos val="r"/>
        <c:majorGridlines/>
        <c:numFmt formatCode="0.0%" sourceLinked="1"/>
        <c:majorTickMark val="out"/>
        <c:minorTickMark val="none"/>
        <c:tickLblPos val="nextTo"/>
        <c:crossAx val="89696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'Indicadores de rentabilidade'!$C$16</c:f>
              <c:strCache>
                <c:ptCount val="1"/>
                <c:pt idx="0">
                  <c:v>VPL</c:v>
                </c:pt>
              </c:strCache>
            </c:strRef>
          </c:tx>
          <c:marker>
            <c:symbol val="none"/>
          </c:marker>
          <c:cat>
            <c:numRef>
              <c:f>'Indicadores de rentabilidade'!$D$17:$D$21</c:f>
              <c:numCache>
                <c:formatCode>General</c:formatCode>
                <c:ptCount val="5"/>
                <c:pt idx="0">
                  <c:v>25</c:v>
                </c:pt>
                <c:pt idx="1">
                  <c:v>20</c:v>
                </c:pt>
                <c:pt idx="2">
                  <c:v>15</c:v>
                </c:pt>
                <c:pt idx="3">
                  <c:v>10</c:v>
                </c:pt>
                <c:pt idx="4">
                  <c:v>5</c:v>
                </c:pt>
              </c:numCache>
            </c:numRef>
          </c:cat>
          <c:val>
            <c:numRef>
              <c:f>'Indicadores de rentabilidade'!$C$17:$C$21</c:f>
              <c:numCache>
                <c:formatCode>#,##0</c:formatCode>
                <c:ptCount val="5"/>
                <c:pt idx="0">
                  <c:v>40120795.01156459</c:v>
                </c:pt>
                <c:pt idx="1">
                  <c:v>27991508.141326092</c:v>
                </c:pt>
                <c:pt idx="2">
                  <c:v>16164828.177558025</c:v>
                </c:pt>
                <c:pt idx="3">
                  <c:v>5369327.9534342941</c:v>
                </c:pt>
                <c:pt idx="4">
                  <c:v>-7956775.8688756311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C-4088-BDE6-751E8F6F7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357568"/>
        <c:axId val="91359104"/>
      </c:lineChart>
      <c:catAx>
        <c:axId val="9135756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crossAx val="91359104"/>
        <c:crosses val="autoZero"/>
        <c:auto val="1"/>
        <c:lblAlgn val="ctr"/>
        <c:lblOffset val="100"/>
        <c:noMultiLvlLbl val="0"/>
      </c:catAx>
      <c:valAx>
        <c:axId val="91359104"/>
        <c:scaling>
          <c:orientation val="minMax"/>
        </c:scaling>
        <c:delete val="0"/>
        <c:axPos val="r"/>
        <c:majorGridlines/>
        <c:numFmt formatCode="#,##0" sourceLinked="1"/>
        <c:majorTickMark val="out"/>
        <c:minorTickMark val="none"/>
        <c:tickLblPos val="nextTo"/>
        <c:crossAx val="91357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22</xdr:row>
      <xdr:rowOff>0</xdr:rowOff>
    </xdr:from>
    <xdr:to>
      <xdr:col>18</xdr:col>
      <xdr:colOff>256371</xdr:colOff>
      <xdr:row>50</xdr:row>
      <xdr:rowOff>113618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191875" y="5162550"/>
          <a:ext cx="6428571" cy="54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104775</xdr:rowOff>
    </xdr:from>
    <xdr:to>
      <xdr:col>4</xdr:col>
      <xdr:colOff>922986</xdr:colOff>
      <xdr:row>44</xdr:row>
      <xdr:rowOff>94584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152775"/>
          <a:ext cx="7514286" cy="53238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1924049</xdr:colOff>
      <xdr:row>0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799" cy="19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ANÁLISE DE VIABILIDADE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22</xdr:row>
      <xdr:rowOff>142875</xdr:rowOff>
    </xdr:from>
    <xdr:to>
      <xdr:col>8</xdr:col>
      <xdr:colOff>304800</xdr:colOff>
      <xdr:row>47</xdr:row>
      <xdr:rowOff>95250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257175</xdr:colOff>
      <xdr:row>14</xdr:row>
      <xdr:rowOff>152400</xdr:rowOff>
    </xdr:from>
    <xdr:to>
      <xdr:col>9</xdr:col>
      <xdr:colOff>381000</xdr:colOff>
      <xdr:row>22</xdr:row>
      <xdr:rowOff>9525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695325</xdr:colOff>
      <xdr:row>14</xdr:row>
      <xdr:rowOff>123826</xdr:rowOff>
    </xdr:from>
    <xdr:to>
      <xdr:col>16</xdr:col>
      <xdr:colOff>19050</xdr:colOff>
      <xdr:row>21</xdr:row>
      <xdr:rowOff>123826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os%20Eficientes/Plano%20de%20Neg&#243;cios%20Loca&#231;&#227;o%205Mwh%20V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XIVALOR/Desktop/V3%20-%20Viabilidade%20financeira%20AGRESE%2014.12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MANENTE/DIRETORIA/PRIVATE_%20EQUITY/Projetos/Saude/Delfin%20Laborat&#243;rios/Modelo/Modelo%20Delfin%20-%20Nova%20Vers&#227;o%20(Fev12)%20v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soal"/>
      <sheetName val="Enc. sociais"/>
      <sheetName val="fixos &amp; variaveis"/>
      <sheetName val="Impostos"/>
      <sheetName val="Invest."/>
      <sheetName val="Receitas"/>
      <sheetName val="Fin. BNB"/>
      <sheetName val="Fluxo cx"/>
      <sheetName val="Curva"/>
      <sheetName val="Clientes"/>
      <sheetName val="Doc."/>
    </sheetNames>
    <sheetDataSet>
      <sheetData sheetId="0" refreshError="1">
        <row r="15">
          <cell r="E15">
            <v>2107.5156689999999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soal"/>
      <sheetName val="Enc. sociais"/>
      <sheetName val="Despesas Gerais"/>
      <sheetName val="Invest. em Pre e Implantação"/>
      <sheetName val="Reinvestimento"/>
      <sheetName val="Encerramento e Monitoramento"/>
      <sheetName val="Gravimetria"/>
      <sheetName val="Receitas"/>
      <sheetName val="Impostos"/>
      <sheetName val="Depreciação"/>
      <sheetName val="DRE"/>
      <sheetName val="Fluxo de Caixa"/>
      <sheetName val="Indicadores de rentabilidade"/>
    </sheetNames>
    <sheetDataSet>
      <sheetData sheetId="0"/>
      <sheetData sheetId="1">
        <row r="28">
          <cell r="C28">
            <v>0.76045800000000008</v>
          </cell>
        </row>
      </sheetData>
      <sheetData sheetId="2"/>
      <sheetData sheetId="3"/>
      <sheetData sheetId="4"/>
      <sheetData sheetId="5">
        <row r="12">
          <cell r="F12">
            <v>450000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de Múltiplo implícito"/>
      <sheetName val="Valuation &amp; IRR - EA 12 e 13"/>
      <sheetName val="Macro"/>
      <sheetName val="CD"/>
      <sheetName val="DMA"/>
      <sheetName val="DV"/>
      <sheetName val="SAJ"/>
      <sheetName val="CLIN"/>
      <sheetName val="IDI"/>
      <sheetName val="Unidade Nova - Petrolina"/>
      <sheetName val="Unidade Nova - Prontoneuro"/>
      <sheetName val="AC"/>
      <sheetName val="DRE"/>
      <sheetName val="BP"/>
      <sheetName val="Dívida Líquida"/>
      <sheetName val="Capital de Giro"/>
      <sheetName val="Imobilizado"/>
      <sheetName val="Endividamento - Amortização"/>
      <sheetName val="Endividamento"/>
      <sheetName val="Fluxo de Caixa"/>
      <sheetName val="Aquisições"/>
      <sheetName val="Materiais de Apoio"/>
      <sheetName val="Balanço Consolidado"/>
      <sheetName val="Balanços"/>
      <sheetName val="PROD"/>
      <sheetName val="ROB"/>
      <sheetName val="PM"/>
      <sheetName val="Custos_KPMG"/>
      <sheetName val="Despesas_KPMG"/>
      <sheetName val="EBITDA"/>
      <sheetName val="Honorários Médicos"/>
      <sheetName val="Detalhamento Pessoal "/>
      <sheetName val="Detalhamento Manutenção"/>
      <sheetName val="Financials Export"/>
      <sheetName val="Equipamentos Clinicas"/>
      <sheetName val="Capacidade Operacional"/>
      <sheetName val="Ass. Médica NE"/>
      <sheetName val="Cidades Clínicas Delfin"/>
      <sheetName val="Ass. Médica"/>
      <sheetName val="Múltiplos"/>
      <sheetName val="Gráfico Sazonalidade"/>
      <sheetName val="AC_Demanada Agregada"/>
      <sheetName val="AC_Consol Projeção por Espec"/>
      <sheetName val="AC_Preço Médio"/>
      <sheetName val="Ajustes EBITDA"/>
      <sheetName val="1 T 12 vs 1 T 11"/>
      <sheetName val="Aging AR por Empresa"/>
      <sheetName val="SERV TERC PESSOAL"/>
      <sheetName val="Imobilizado Bruto"/>
      <sheetName val="Fluxo de Caixa Audit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2">
          <cell r="B12" t="str">
            <v xml:space="preserve">Contas a receber </v>
          </cell>
        </row>
        <row r="13">
          <cell r="B13" t="str">
            <v>Estoques</v>
          </cell>
        </row>
        <row r="14">
          <cell r="B14" t="str">
            <v>Impostos a Recuperar</v>
          </cell>
        </row>
        <row r="15">
          <cell r="B15" t="str">
            <v>Despesas Antecipadas</v>
          </cell>
        </row>
        <row r="20">
          <cell r="B20" t="str">
            <v>Outras contas a receber</v>
          </cell>
        </row>
        <row r="47">
          <cell r="B47" t="str">
            <v>Fornecedores</v>
          </cell>
        </row>
        <row r="49">
          <cell r="B49" t="str">
            <v>Provisões trabalhistas e obrigações sociais</v>
          </cell>
        </row>
        <row r="50">
          <cell r="B50" t="str">
            <v>Impostos, taxas e contribuições</v>
          </cell>
        </row>
        <row r="55">
          <cell r="B55" t="str">
            <v>Outras Contas a Pagar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6"/>
  <sheetViews>
    <sheetView tabSelected="1" topLeftCell="A115" zoomScale="125" workbookViewId="0">
      <selection activeCell="F131" sqref="F131"/>
    </sheetView>
  </sheetViews>
  <sheetFormatPr baseColWidth="10" defaultColWidth="8.83203125" defaultRowHeight="15"/>
  <cols>
    <col min="1" max="1" width="10.1640625" customWidth="1"/>
    <col min="2" max="2" width="40" customWidth="1"/>
    <col min="3" max="3" width="9" customWidth="1"/>
    <col min="4" max="4" width="13" customWidth="1"/>
    <col min="5" max="5" width="15.1640625" bestFit="1" customWidth="1"/>
    <col min="6" max="6" width="15" bestFit="1" customWidth="1"/>
    <col min="9" max="9" width="16" bestFit="1" customWidth="1"/>
    <col min="10" max="10" width="9.5" bestFit="1" customWidth="1"/>
  </cols>
  <sheetData>
    <row r="1" spans="1:12" ht="16" thickBot="1">
      <c r="A1" s="182"/>
      <c r="B1" s="451" t="s">
        <v>0</v>
      </c>
      <c r="C1" s="452"/>
      <c r="D1" s="452"/>
      <c r="E1" s="452"/>
      <c r="F1" s="453"/>
      <c r="G1" s="182"/>
      <c r="I1" s="454" t="s">
        <v>773</v>
      </c>
      <c r="J1" s="455"/>
      <c r="K1" s="454" t="s">
        <v>774</v>
      </c>
      <c r="L1" s="455"/>
    </row>
    <row r="2" spans="1:12">
      <c r="A2" s="315"/>
      <c r="B2" s="315"/>
      <c r="C2" s="315"/>
      <c r="D2" s="315"/>
      <c r="E2" s="315"/>
      <c r="F2" s="315"/>
      <c r="G2" s="315"/>
      <c r="I2" s="440">
        <v>2019</v>
      </c>
      <c r="J2" s="441">
        <v>4.1399999999999999E-2</v>
      </c>
      <c r="K2" s="440">
        <v>2019</v>
      </c>
      <c r="L2" s="441">
        <v>4.3099999999999999E-2</v>
      </c>
    </row>
    <row r="3" spans="1:12">
      <c r="A3" s="315"/>
      <c r="B3" s="315"/>
      <c r="C3" s="315"/>
      <c r="D3" s="315"/>
      <c r="E3" s="315"/>
      <c r="F3" s="315"/>
      <c r="G3" s="315"/>
      <c r="I3" s="440">
        <v>2020</v>
      </c>
      <c r="J3" s="441">
        <v>8.2100000000000006E-2</v>
      </c>
      <c r="K3" s="440">
        <v>2020</v>
      </c>
      <c r="L3" s="441">
        <v>4.5199999999999997E-2</v>
      </c>
    </row>
    <row r="4" spans="1:12">
      <c r="A4" s="315"/>
      <c r="B4" s="315"/>
      <c r="C4" s="315"/>
      <c r="D4" s="315"/>
      <c r="E4" s="315"/>
      <c r="F4" s="315"/>
      <c r="G4" s="315"/>
      <c r="I4" s="440">
        <v>2021</v>
      </c>
      <c r="J4" s="441">
        <v>0.1384</v>
      </c>
      <c r="K4" s="440">
        <v>2021</v>
      </c>
      <c r="L4" s="441">
        <v>0.10059999999999999</v>
      </c>
    </row>
    <row r="5" spans="1:12" ht="16" thickBot="1">
      <c r="A5" s="289" t="s">
        <v>37</v>
      </c>
      <c r="B5" s="290" t="s">
        <v>251</v>
      </c>
      <c r="C5" s="290" t="s">
        <v>29</v>
      </c>
      <c r="D5" s="290" t="s">
        <v>39</v>
      </c>
      <c r="E5" s="290" t="s">
        <v>252</v>
      </c>
      <c r="F5" s="290" t="s">
        <v>253</v>
      </c>
      <c r="G5" s="290" t="s">
        <v>54</v>
      </c>
      <c r="I5" s="442">
        <v>44652</v>
      </c>
      <c r="J5" s="443">
        <v>2.93E-2</v>
      </c>
      <c r="K5" s="442">
        <v>44652</v>
      </c>
      <c r="L5" s="443">
        <v>4.2900000000000001E-2</v>
      </c>
    </row>
    <row r="6" spans="1:12" s="1" customFormat="1" ht="16" thickBot="1">
      <c r="A6" s="291" t="s">
        <v>254</v>
      </c>
      <c r="B6" s="292" t="s">
        <v>255</v>
      </c>
      <c r="C6" s="288"/>
      <c r="D6" s="288"/>
      <c r="E6" s="288"/>
      <c r="F6" s="293">
        <f>F7+F17+F25+F43+F48+F51</f>
        <v>1425931.6800000002</v>
      </c>
      <c r="G6" s="294">
        <f>SUM(G8:G55)</f>
        <v>6.1064329784707029E-2</v>
      </c>
      <c r="I6" s="439" t="s">
        <v>772</v>
      </c>
      <c r="J6" s="444">
        <f>SUM(J2:J5)</f>
        <v>0.29120000000000001</v>
      </c>
      <c r="K6" s="439" t="s">
        <v>772</v>
      </c>
      <c r="L6" s="444">
        <f>SUM(L2:L5)</f>
        <v>0.23179999999999998</v>
      </c>
    </row>
    <row r="7" spans="1:12">
      <c r="A7" s="291" t="s">
        <v>41</v>
      </c>
      <c r="B7" s="292" t="s">
        <v>256</v>
      </c>
      <c r="C7" s="288"/>
      <c r="D7" s="288"/>
      <c r="E7" s="288"/>
      <c r="F7" s="293">
        <f>SUM(F8:F15)</f>
        <v>102978.48</v>
      </c>
      <c r="G7" s="294"/>
    </row>
    <row r="8" spans="1:12" s="7" customFormat="1">
      <c r="A8" s="295" t="s">
        <v>257</v>
      </c>
      <c r="B8" s="288" t="s">
        <v>258</v>
      </c>
      <c r="C8" s="295" t="s">
        <v>259</v>
      </c>
      <c r="D8" s="296">
        <v>200000</v>
      </c>
      <c r="E8" s="297">
        <v>0.15</v>
      </c>
      <c r="F8" s="297">
        <f>(D8*E8)*1.2318</f>
        <v>36954</v>
      </c>
      <c r="G8" s="298">
        <f t="shared" ref="G8:G15" si="0">F8/$F$134</f>
        <v>1.5825240960100299E-3</v>
      </c>
    </row>
    <row r="9" spans="1:12" s="8" customFormat="1">
      <c r="A9" s="295" t="s">
        <v>260</v>
      </c>
      <c r="B9" s="288" t="s">
        <v>1</v>
      </c>
      <c r="C9" s="295" t="s">
        <v>261</v>
      </c>
      <c r="D9" s="296">
        <v>400</v>
      </c>
      <c r="E9" s="297">
        <v>16.5</v>
      </c>
      <c r="F9" s="297">
        <f>(D9*E9)*1.2318</f>
        <v>8129.88</v>
      </c>
      <c r="G9" s="298">
        <f t="shared" si="0"/>
        <v>3.481553011222066E-4</v>
      </c>
      <c r="J9" s="438"/>
    </row>
    <row r="10" spans="1:12" s="9" customFormat="1">
      <c r="A10" s="295" t="s">
        <v>262</v>
      </c>
      <c r="B10" s="288" t="s">
        <v>263</v>
      </c>
      <c r="C10" s="295" t="s">
        <v>259</v>
      </c>
      <c r="D10" s="296">
        <v>200000</v>
      </c>
      <c r="E10" s="297">
        <v>1.4999999999999999E-2</v>
      </c>
      <c r="F10" s="297">
        <f t="shared" ref="F10:F15" si="1">(D10*E10)*1.2318</f>
        <v>3695.4</v>
      </c>
      <c r="G10" s="298">
        <f t="shared" si="0"/>
        <v>1.5825240960100299E-4</v>
      </c>
    </row>
    <row r="11" spans="1:12">
      <c r="A11" s="295" t="s">
        <v>264</v>
      </c>
      <c r="B11" s="288" t="s">
        <v>265</v>
      </c>
      <c r="C11" s="295" t="s">
        <v>266</v>
      </c>
      <c r="D11" s="296">
        <v>1</v>
      </c>
      <c r="E11" s="297">
        <v>4000</v>
      </c>
      <c r="F11" s="297">
        <f t="shared" si="1"/>
        <v>4927.2</v>
      </c>
      <c r="G11" s="298">
        <f t="shared" si="0"/>
        <v>2.1100321280133731E-4</v>
      </c>
    </row>
    <row r="12" spans="1:12">
      <c r="A12" s="295" t="s">
        <v>267</v>
      </c>
      <c r="B12" s="288" t="s">
        <v>268</v>
      </c>
      <c r="C12" s="295" t="s">
        <v>266</v>
      </c>
      <c r="D12" s="296">
        <v>1</v>
      </c>
      <c r="E12" s="297">
        <v>2500</v>
      </c>
      <c r="F12" s="297">
        <f t="shared" si="1"/>
        <v>3079.5</v>
      </c>
      <c r="G12" s="298">
        <f t="shared" si="0"/>
        <v>1.3187700800083583E-4</v>
      </c>
    </row>
    <row r="13" spans="1:12">
      <c r="A13" s="295" t="s">
        <v>269</v>
      </c>
      <c r="B13" s="288" t="s">
        <v>270</v>
      </c>
      <c r="C13" s="295" t="s">
        <v>266</v>
      </c>
      <c r="D13" s="296">
        <v>1</v>
      </c>
      <c r="E13" s="297">
        <v>2500</v>
      </c>
      <c r="F13" s="297">
        <f t="shared" si="1"/>
        <v>3079.5</v>
      </c>
      <c r="G13" s="298">
        <f t="shared" si="0"/>
        <v>1.3187700800083583E-4</v>
      </c>
    </row>
    <row r="14" spans="1:12">
      <c r="A14" s="295" t="s">
        <v>271</v>
      </c>
      <c r="B14" s="288" t="s">
        <v>272</v>
      </c>
      <c r="C14" s="295" t="s">
        <v>266</v>
      </c>
      <c r="D14" s="296">
        <v>1</v>
      </c>
      <c r="E14" s="297">
        <v>5000</v>
      </c>
      <c r="F14" s="297">
        <f t="shared" si="1"/>
        <v>6159</v>
      </c>
      <c r="G14" s="298">
        <f t="shared" si="0"/>
        <v>2.6375401600167166E-4</v>
      </c>
    </row>
    <row r="15" spans="1:12">
      <c r="A15" s="295" t="s">
        <v>273</v>
      </c>
      <c r="B15" s="288" t="s">
        <v>25</v>
      </c>
      <c r="C15" s="295" t="s">
        <v>266</v>
      </c>
      <c r="D15" s="296">
        <v>1</v>
      </c>
      <c r="E15" s="297">
        <v>30000</v>
      </c>
      <c r="F15" s="297">
        <f t="shared" si="1"/>
        <v>36954</v>
      </c>
      <c r="G15" s="298">
        <f t="shared" si="0"/>
        <v>1.5825240960100299E-3</v>
      </c>
    </row>
    <row r="16" spans="1:12">
      <c r="A16" s="295"/>
      <c r="B16" s="288"/>
      <c r="C16" s="295"/>
      <c r="D16" s="296"/>
      <c r="E16" s="363"/>
      <c r="F16" s="299"/>
      <c r="G16" s="298"/>
    </row>
    <row r="17" spans="1:10">
      <c r="A17" s="291" t="s">
        <v>44</v>
      </c>
      <c r="B17" s="292" t="s">
        <v>274</v>
      </c>
      <c r="C17" s="295"/>
      <c r="D17" s="296"/>
      <c r="E17" s="297"/>
      <c r="F17" s="293">
        <f>SUM(F18:F23)</f>
        <v>107166.60000000002</v>
      </c>
      <c r="G17" s="298"/>
    </row>
    <row r="18" spans="1:10">
      <c r="A18" s="295" t="s">
        <v>275</v>
      </c>
      <c r="B18" s="288" t="s">
        <v>276</v>
      </c>
      <c r="C18" s="295" t="s">
        <v>266</v>
      </c>
      <c r="D18" s="296">
        <v>1</v>
      </c>
      <c r="E18" s="297">
        <f>87000*0.1</f>
        <v>8700</v>
      </c>
      <c r="F18" s="297">
        <f t="shared" ref="F18:F23" si="2">(D18*E18)*1.2318</f>
        <v>10716.66</v>
      </c>
      <c r="G18" s="298">
        <f t="shared" ref="G18:G23" si="3">F18/$F$134</f>
        <v>4.5893198784290864E-4</v>
      </c>
      <c r="I18" s="436"/>
    </row>
    <row r="19" spans="1:10">
      <c r="A19" s="295" t="s">
        <v>277</v>
      </c>
      <c r="B19" s="288" t="s">
        <v>278</v>
      </c>
      <c r="C19" s="295" t="s">
        <v>266</v>
      </c>
      <c r="D19" s="296">
        <v>1</v>
      </c>
      <c r="E19" s="297">
        <f>87000*0.15</f>
        <v>13050</v>
      </c>
      <c r="F19" s="297">
        <f t="shared" si="2"/>
        <v>16074.99</v>
      </c>
      <c r="G19" s="298">
        <f t="shared" si="3"/>
        <v>6.8839798176436305E-4</v>
      </c>
    </row>
    <row r="20" spans="1:10">
      <c r="A20" s="295" t="s">
        <v>279</v>
      </c>
      <c r="B20" s="288" t="s">
        <v>280</v>
      </c>
      <c r="C20" s="295" t="s">
        <v>266</v>
      </c>
      <c r="D20" s="296">
        <v>1</v>
      </c>
      <c r="E20" s="297">
        <f>87000*0.25</f>
        <v>21750</v>
      </c>
      <c r="F20" s="297">
        <f t="shared" si="2"/>
        <v>26791.65</v>
      </c>
      <c r="G20" s="298">
        <f t="shared" si="3"/>
        <v>1.1473299696072717E-3</v>
      </c>
    </row>
    <row r="21" spans="1:10">
      <c r="A21" s="295" t="s">
        <v>281</v>
      </c>
      <c r="B21" s="288" t="s">
        <v>282</v>
      </c>
      <c r="C21" s="295" t="s">
        <v>266</v>
      </c>
      <c r="D21" s="296">
        <v>1</v>
      </c>
      <c r="E21" s="297">
        <f>87000*0.25</f>
        <v>21750</v>
      </c>
      <c r="F21" s="297">
        <f t="shared" si="2"/>
        <v>26791.65</v>
      </c>
      <c r="G21" s="298">
        <f t="shared" si="3"/>
        <v>1.1473299696072717E-3</v>
      </c>
    </row>
    <row r="22" spans="1:10">
      <c r="A22" s="295" t="s">
        <v>283</v>
      </c>
      <c r="B22" s="288" t="s">
        <v>284</v>
      </c>
      <c r="C22" s="295" t="s">
        <v>266</v>
      </c>
      <c r="D22" s="296">
        <v>1</v>
      </c>
      <c r="E22" s="297">
        <f>87000*0.15</f>
        <v>13050</v>
      </c>
      <c r="F22" s="297">
        <f t="shared" si="2"/>
        <v>16074.99</v>
      </c>
      <c r="G22" s="298">
        <f t="shared" si="3"/>
        <v>6.8839798176436305E-4</v>
      </c>
    </row>
    <row r="23" spans="1:10">
      <c r="A23" s="295" t="s">
        <v>285</v>
      </c>
      <c r="B23" s="288" t="s">
        <v>286</v>
      </c>
      <c r="C23" s="295" t="s">
        <v>266</v>
      </c>
      <c r="D23" s="296">
        <v>1</v>
      </c>
      <c r="E23" s="297">
        <f>87000*0.1</f>
        <v>8700</v>
      </c>
      <c r="F23" s="297">
        <f t="shared" si="2"/>
        <v>10716.66</v>
      </c>
      <c r="G23" s="298">
        <f t="shared" si="3"/>
        <v>4.5893198784290864E-4</v>
      </c>
    </row>
    <row r="24" spans="1:10" s="39" customFormat="1">
      <c r="A24" s="295"/>
      <c r="B24" s="288"/>
      <c r="C24" s="295"/>
      <c r="D24" s="296"/>
      <c r="E24" s="297"/>
      <c r="F24" s="299"/>
      <c r="G24" s="298"/>
    </row>
    <row r="25" spans="1:10">
      <c r="A25" s="291" t="s">
        <v>130</v>
      </c>
      <c r="B25" s="292" t="s">
        <v>287</v>
      </c>
      <c r="C25" s="295"/>
      <c r="D25" s="296"/>
      <c r="E25" s="297"/>
      <c r="F25" s="293">
        <f>SUM(F26:F41)</f>
        <v>110862.00000000003</v>
      </c>
      <c r="G25" s="298"/>
    </row>
    <row r="26" spans="1:10">
      <c r="A26" s="295" t="s">
        <v>288</v>
      </c>
      <c r="B26" s="288" t="s">
        <v>289</v>
      </c>
      <c r="C26" s="295" t="s">
        <v>266</v>
      </c>
      <c r="D26" s="296">
        <v>1</v>
      </c>
      <c r="E26" s="297">
        <f>90000*0.05</f>
        <v>4500</v>
      </c>
      <c r="F26" s="297">
        <f t="shared" ref="F26:F41" si="4">(D26*E26)*1.2318</f>
        <v>5543.1</v>
      </c>
      <c r="G26" s="298">
        <f t="shared" ref="G26:G41" si="5">F26/$F$134</f>
        <v>2.373786144015045E-4</v>
      </c>
    </row>
    <row r="27" spans="1:10" s="39" customFormat="1">
      <c r="A27" s="295" t="s">
        <v>290</v>
      </c>
      <c r="B27" s="288" t="s">
        <v>291</v>
      </c>
      <c r="C27" s="295" t="s">
        <v>266</v>
      </c>
      <c r="D27" s="296">
        <v>1</v>
      </c>
      <c r="E27" s="297">
        <f>90000*0.1</f>
        <v>9000</v>
      </c>
      <c r="F27" s="297">
        <f t="shared" si="4"/>
        <v>11086.2</v>
      </c>
      <c r="G27" s="298">
        <f t="shared" si="5"/>
        <v>4.74757228803009E-4</v>
      </c>
    </row>
    <row r="28" spans="1:10" s="39" customFormat="1">
      <c r="A28" s="295" t="s">
        <v>292</v>
      </c>
      <c r="B28" s="288" t="s">
        <v>293</v>
      </c>
      <c r="C28" s="295" t="s">
        <v>266</v>
      </c>
      <c r="D28" s="296">
        <v>1</v>
      </c>
      <c r="E28" s="297">
        <f>90000*0.1</f>
        <v>9000</v>
      </c>
      <c r="F28" s="297">
        <f t="shared" si="4"/>
        <v>11086.2</v>
      </c>
      <c r="G28" s="298">
        <f t="shared" si="5"/>
        <v>4.74757228803009E-4</v>
      </c>
    </row>
    <row r="29" spans="1:10">
      <c r="A29" s="295" t="s">
        <v>294</v>
      </c>
      <c r="B29" s="288" t="s">
        <v>295</v>
      </c>
      <c r="C29" s="295" t="s">
        <v>266</v>
      </c>
      <c r="D29" s="296">
        <v>1</v>
      </c>
      <c r="E29" s="297">
        <f>90000*0.05</f>
        <v>4500</v>
      </c>
      <c r="F29" s="297">
        <f t="shared" si="4"/>
        <v>5543.1</v>
      </c>
      <c r="G29" s="298">
        <f t="shared" si="5"/>
        <v>2.373786144015045E-4</v>
      </c>
    </row>
    <row r="30" spans="1:10">
      <c r="A30" s="295" t="s">
        <v>296</v>
      </c>
      <c r="B30" s="288" t="s">
        <v>297</v>
      </c>
      <c r="C30" s="295" t="s">
        <v>266</v>
      </c>
      <c r="D30" s="296">
        <v>1</v>
      </c>
      <c r="E30" s="297">
        <f>90000*0.05</f>
        <v>4500</v>
      </c>
      <c r="F30" s="297">
        <f t="shared" si="4"/>
        <v>5543.1</v>
      </c>
      <c r="G30" s="298">
        <f t="shared" si="5"/>
        <v>2.373786144015045E-4</v>
      </c>
      <c r="J30" s="297"/>
    </row>
    <row r="31" spans="1:10">
      <c r="A31" s="295" t="s">
        <v>298</v>
      </c>
      <c r="B31" s="288" t="s">
        <v>299</v>
      </c>
      <c r="C31" s="295" t="s">
        <v>266</v>
      </c>
      <c r="D31" s="296">
        <v>1</v>
      </c>
      <c r="E31" s="297">
        <f>90000*0.05</f>
        <v>4500</v>
      </c>
      <c r="F31" s="297">
        <f t="shared" si="4"/>
        <v>5543.1</v>
      </c>
      <c r="G31" s="298">
        <f t="shared" si="5"/>
        <v>2.373786144015045E-4</v>
      </c>
    </row>
    <row r="32" spans="1:10">
      <c r="A32" s="295" t="s">
        <v>300</v>
      </c>
      <c r="B32" s="288" t="s">
        <v>301</v>
      </c>
      <c r="C32" s="295" t="s">
        <v>266</v>
      </c>
      <c r="D32" s="296">
        <v>1</v>
      </c>
      <c r="E32" s="297">
        <f>90000*0.1</f>
        <v>9000</v>
      </c>
      <c r="F32" s="297">
        <f t="shared" si="4"/>
        <v>11086.2</v>
      </c>
      <c r="G32" s="298">
        <f t="shared" si="5"/>
        <v>4.74757228803009E-4</v>
      </c>
    </row>
    <row r="33" spans="1:7">
      <c r="A33" s="295" t="s">
        <v>302</v>
      </c>
      <c r="B33" s="288" t="s">
        <v>303</v>
      </c>
      <c r="C33" s="295" t="s">
        <v>266</v>
      </c>
      <c r="D33" s="296">
        <v>1</v>
      </c>
      <c r="E33" s="297">
        <f>90000*0.05</f>
        <v>4500</v>
      </c>
      <c r="F33" s="297">
        <f t="shared" si="4"/>
        <v>5543.1</v>
      </c>
      <c r="G33" s="298">
        <f t="shared" si="5"/>
        <v>2.373786144015045E-4</v>
      </c>
    </row>
    <row r="34" spans="1:7">
      <c r="A34" s="295" t="s">
        <v>304</v>
      </c>
      <c r="B34" s="288" t="s">
        <v>305</v>
      </c>
      <c r="C34" s="295" t="s">
        <v>266</v>
      </c>
      <c r="D34" s="296">
        <v>1</v>
      </c>
      <c r="E34" s="297">
        <f>90000*0.1</f>
        <v>9000</v>
      </c>
      <c r="F34" s="297">
        <f t="shared" si="4"/>
        <v>11086.2</v>
      </c>
      <c r="G34" s="298">
        <f t="shared" si="5"/>
        <v>4.74757228803009E-4</v>
      </c>
    </row>
    <row r="35" spans="1:7">
      <c r="A35" s="295" t="s">
        <v>306</v>
      </c>
      <c r="B35" s="288" t="s">
        <v>307</v>
      </c>
      <c r="C35" s="295" t="s">
        <v>266</v>
      </c>
      <c r="D35" s="296">
        <v>1</v>
      </c>
      <c r="E35" s="297">
        <f>90000*0.1</f>
        <v>9000</v>
      </c>
      <c r="F35" s="297">
        <f t="shared" si="4"/>
        <v>11086.2</v>
      </c>
      <c r="G35" s="298">
        <f t="shared" si="5"/>
        <v>4.74757228803009E-4</v>
      </c>
    </row>
    <row r="36" spans="1:7">
      <c r="A36" s="295" t="s">
        <v>308</v>
      </c>
      <c r="B36" s="288" t="s">
        <v>309</v>
      </c>
      <c r="C36" s="295" t="s">
        <v>266</v>
      </c>
      <c r="D36" s="296">
        <v>1</v>
      </c>
      <c r="E36" s="297">
        <f>90000*0.05</f>
        <v>4500</v>
      </c>
      <c r="F36" s="297">
        <f t="shared" si="4"/>
        <v>5543.1</v>
      </c>
      <c r="G36" s="298">
        <f t="shared" si="5"/>
        <v>2.373786144015045E-4</v>
      </c>
    </row>
    <row r="37" spans="1:7">
      <c r="A37" s="295" t="s">
        <v>310</v>
      </c>
      <c r="B37" s="288" t="s">
        <v>311</v>
      </c>
      <c r="C37" s="295" t="s">
        <v>266</v>
      </c>
      <c r="D37" s="296">
        <v>1</v>
      </c>
      <c r="E37" s="297">
        <f>90000*0.05</f>
        <v>4500</v>
      </c>
      <c r="F37" s="297">
        <f t="shared" si="4"/>
        <v>5543.1</v>
      </c>
      <c r="G37" s="298">
        <f t="shared" si="5"/>
        <v>2.373786144015045E-4</v>
      </c>
    </row>
    <row r="38" spans="1:7">
      <c r="A38" s="295" t="s">
        <v>312</v>
      </c>
      <c r="B38" s="288" t="s">
        <v>313</v>
      </c>
      <c r="C38" s="295" t="s">
        <v>266</v>
      </c>
      <c r="D38" s="296">
        <v>1</v>
      </c>
      <c r="E38" s="297">
        <f>90000*0.05</f>
        <v>4500</v>
      </c>
      <c r="F38" s="297">
        <f t="shared" si="4"/>
        <v>5543.1</v>
      </c>
      <c r="G38" s="298">
        <f t="shared" si="5"/>
        <v>2.373786144015045E-4</v>
      </c>
    </row>
    <row r="39" spans="1:7">
      <c r="A39" s="295" t="s">
        <v>314</v>
      </c>
      <c r="B39" s="288" t="s">
        <v>315</v>
      </c>
      <c r="C39" s="295" t="s">
        <v>266</v>
      </c>
      <c r="D39" s="296">
        <v>1</v>
      </c>
      <c r="E39" s="297">
        <f>90000*0.05</f>
        <v>4500</v>
      </c>
      <c r="F39" s="297">
        <f t="shared" si="4"/>
        <v>5543.1</v>
      </c>
      <c r="G39" s="298">
        <f t="shared" si="5"/>
        <v>2.373786144015045E-4</v>
      </c>
    </row>
    <row r="40" spans="1:7">
      <c r="A40" s="295" t="s">
        <v>316</v>
      </c>
      <c r="B40" s="288" t="s">
        <v>317</v>
      </c>
      <c r="C40" s="295" t="s">
        <v>266</v>
      </c>
      <c r="D40" s="296">
        <v>1</v>
      </c>
      <c r="E40" s="297">
        <f>90000*0.025</f>
        <v>2250</v>
      </c>
      <c r="F40" s="297">
        <f t="shared" si="4"/>
        <v>2771.55</v>
      </c>
      <c r="G40" s="298">
        <f t="shared" si="5"/>
        <v>1.1868930720075225E-4</v>
      </c>
    </row>
    <row r="41" spans="1:7">
      <c r="A41" s="295" t="s">
        <v>318</v>
      </c>
      <c r="B41" s="288" t="s">
        <v>319</v>
      </c>
      <c r="C41" s="295" t="s">
        <v>266</v>
      </c>
      <c r="D41" s="296">
        <v>1</v>
      </c>
      <c r="E41" s="297">
        <f>90000*0.025</f>
        <v>2250</v>
      </c>
      <c r="F41" s="297">
        <f t="shared" si="4"/>
        <v>2771.55</v>
      </c>
      <c r="G41" s="298">
        <f t="shared" si="5"/>
        <v>1.1868930720075225E-4</v>
      </c>
    </row>
    <row r="42" spans="1:7">
      <c r="A42" s="295"/>
      <c r="B42" s="288"/>
      <c r="C42" s="295"/>
      <c r="D42" s="296"/>
      <c r="E42" s="297"/>
      <c r="F42" s="297"/>
      <c r="G42" s="298"/>
    </row>
    <row r="43" spans="1:7">
      <c r="A43" s="291" t="s">
        <v>320</v>
      </c>
      <c r="B43" s="292" t="s">
        <v>321</v>
      </c>
      <c r="C43" s="295"/>
      <c r="D43" s="296"/>
      <c r="E43" s="297"/>
      <c r="F43" s="293">
        <f>SUM(F44:F46)</f>
        <v>33258.6</v>
      </c>
      <c r="G43" s="298"/>
    </row>
    <row r="44" spans="1:7">
      <c r="A44" s="295" t="s">
        <v>322</v>
      </c>
      <c r="B44" s="288" t="s">
        <v>323</v>
      </c>
      <c r="C44" s="295" t="s">
        <v>266</v>
      </c>
      <c r="D44" s="296">
        <v>1</v>
      </c>
      <c r="E44" s="297">
        <v>8000</v>
      </c>
      <c r="F44" s="297">
        <f t="shared" ref="F44:F46" si="6">(D44*E44)*1.2318</f>
        <v>9854.4</v>
      </c>
      <c r="G44" s="298">
        <f>F44/$F$134</f>
        <v>4.2200642560267463E-4</v>
      </c>
    </row>
    <row r="45" spans="1:7">
      <c r="A45" s="295" t="s">
        <v>324</v>
      </c>
      <c r="B45" s="288" t="s">
        <v>325</v>
      </c>
      <c r="C45" s="295" t="s">
        <v>266</v>
      </c>
      <c r="D45" s="296">
        <v>1</v>
      </c>
      <c r="E45" s="297">
        <v>9500</v>
      </c>
      <c r="F45" s="297">
        <f t="shared" si="6"/>
        <v>11702.1</v>
      </c>
      <c r="G45" s="298">
        <f>F45/$F$134</f>
        <v>5.0113263040317611E-4</v>
      </c>
    </row>
    <row r="46" spans="1:7">
      <c r="A46" s="295" t="s">
        <v>326</v>
      </c>
      <c r="B46" s="288" t="s">
        <v>327</v>
      </c>
      <c r="C46" s="295" t="s">
        <v>266</v>
      </c>
      <c r="D46" s="296">
        <v>1</v>
      </c>
      <c r="E46" s="297">
        <v>9500</v>
      </c>
      <c r="F46" s="297">
        <f t="shared" si="6"/>
        <v>11702.1</v>
      </c>
      <c r="G46" s="298">
        <f>F46/$F$134</f>
        <v>5.0113263040317611E-4</v>
      </c>
    </row>
    <row r="47" spans="1:7">
      <c r="A47" s="295"/>
      <c r="B47" s="288"/>
      <c r="C47" s="295"/>
      <c r="D47" s="296"/>
      <c r="E47" s="297"/>
      <c r="F47" s="297"/>
      <c r="G47" s="298"/>
    </row>
    <row r="48" spans="1:7">
      <c r="A48" s="291" t="s">
        <v>328</v>
      </c>
      <c r="B48" s="292" t="s">
        <v>329</v>
      </c>
      <c r="C48" s="295"/>
      <c r="D48" s="296"/>
      <c r="E48" s="301"/>
      <c r="F48" s="293">
        <f>SUM(F49)</f>
        <v>628218</v>
      </c>
      <c r="G48" s="298"/>
    </row>
    <row r="49" spans="1:11">
      <c r="A49" s="295" t="s">
        <v>330</v>
      </c>
      <c r="B49" s="288" t="s">
        <v>331</v>
      </c>
      <c r="C49" s="295" t="s">
        <v>259</v>
      </c>
      <c r="D49" s="296">
        <f>10000*30</f>
        <v>300000</v>
      </c>
      <c r="E49" s="297">
        <v>1.7</v>
      </c>
      <c r="F49" s="297">
        <f t="shared" ref="F49" si="7">(D49*E49)*1.2318</f>
        <v>628218</v>
      </c>
      <c r="G49" s="298">
        <f>F49/$F$134</f>
        <v>2.690290963217051E-2</v>
      </c>
    </row>
    <row r="50" spans="1:11" s="39" customFormat="1">
      <c r="A50" s="295"/>
      <c r="B50" s="288"/>
      <c r="C50" s="295"/>
      <c r="D50" s="296"/>
      <c r="E50" s="297"/>
      <c r="F50" s="297"/>
      <c r="G50" s="298"/>
    </row>
    <row r="51" spans="1:11" s="39" customFormat="1">
      <c r="A51" s="291" t="s">
        <v>378</v>
      </c>
      <c r="B51" s="292" t="s">
        <v>379</v>
      </c>
      <c r="C51" s="295"/>
      <c r="D51" s="296"/>
      <c r="E51" s="301"/>
      <c r="F51" s="293">
        <f>SUM(F52:F55)</f>
        <v>443448</v>
      </c>
      <c r="G51" s="298"/>
    </row>
    <row r="52" spans="1:11" ht="24">
      <c r="A52" s="295" t="s">
        <v>380</v>
      </c>
      <c r="B52" s="364" t="s">
        <v>381</v>
      </c>
      <c r="C52" s="295" t="s">
        <v>266</v>
      </c>
      <c r="D52" s="296">
        <v>1</v>
      </c>
      <c r="E52" s="297">
        <v>30000</v>
      </c>
      <c r="F52" s="297">
        <f t="shared" ref="F52:F55" si="8">(D52*E52)*1.2318</f>
        <v>36954</v>
      </c>
      <c r="G52" s="298">
        <f>F52/$F$134</f>
        <v>1.5825240960100299E-3</v>
      </c>
    </row>
    <row r="53" spans="1:11" s="39" customFormat="1" ht="36">
      <c r="A53" s="295" t="s">
        <v>382</v>
      </c>
      <c r="B53" s="364" t="s">
        <v>383</v>
      </c>
      <c r="C53" s="295" t="s">
        <v>266</v>
      </c>
      <c r="D53" s="296">
        <v>1</v>
      </c>
      <c r="E53" s="297">
        <v>100000</v>
      </c>
      <c r="F53" s="297">
        <f t="shared" si="8"/>
        <v>123180</v>
      </c>
      <c r="G53" s="298">
        <f>F53/$F$134</f>
        <v>5.2750803200334326E-3</v>
      </c>
    </row>
    <row r="54" spans="1:11" s="39" customFormat="1">
      <c r="A54" s="295" t="s">
        <v>384</v>
      </c>
      <c r="B54" s="288" t="s">
        <v>385</v>
      </c>
      <c r="C54" s="295" t="s">
        <v>266</v>
      </c>
      <c r="D54" s="296">
        <v>1</v>
      </c>
      <c r="E54" s="297">
        <v>120000</v>
      </c>
      <c r="F54" s="297">
        <f t="shared" si="8"/>
        <v>147816</v>
      </c>
      <c r="G54" s="298">
        <f>F54/$F$134</f>
        <v>6.3300963840401195E-3</v>
      </c>
    </row>
    <row r="55" spans="1:11" s="39" customFormat="1">
      <c r="A55" s="295" t="s">
        <v>386</v>
      </c>
      <c r="B55" s="288" t="s">
        <v>387</v>
      </c>
      <c r="C55" s="295" t="s">
        <v>266</v>
      </c>
      <c r="D55" s="296">
        <v>1</v>
      </c>
      <c r="E55" s="297">
        <v>110000</v>
      </c>
      <c r="F55" s="297">
        <f t="shared" si="8"/>
        <v>135498</v>
      </c>
      <c r="G55" s="298">
        <f>F55/$F$134</f>
        <v>5.8025883520367765E-3</v>
      </c>
    </row>
    <row r="56" spans="1:11" s="39" customFormat="1">
      <c r="A56" s="295"/>
      <c r="B56" s="288"/>
      <c r="C56" s="290" t="s">
        <v>29</v>
      </c>
      <c r="D56" s="445" t="s">
        <v>39</v>
      </c>
      <c r="E56" s="445" t="s">
        <v>252</v>
      </c>
      <c r="F56" s="445" t="s">
        <v>253</v>
      </c>
      <c r="G56" s="298"/>
      <c r="K56" s="39" t="s">
        <v>770</v>
      </c>
    </row>
    <row r="57" spans="1:11">
      <c r="A57" s="14"/>
      <c r="B57" s="308" t="s">
        <v>333</v>
      </c>
      <c r="C57" s="295"/>
      <c r="D57" s="296"/>
      <c r="E57" s="302"/>
      <c r="F57" s="293">
        <f>F58+F80+F126+F130</f>
        <v>21843493.782065518</v>
      </c>
      <c r="G57" s="294"/>
    </row>
    <row r="58" spans="1:11">
      <c r="A58" s="291" t="s">
        <v>332</v>
      </c>
      <c r="B58" s="292" t="s">
        <v>335</v>
      </c>
      <c r="C58" s="295"/>
      <c r="D58" s="296"/>
      <c r="E58" s="302"/>
      <c r="F58" s="293">
        <f>SUM(F59:F78)</f>
        <v>5953773.3463886296</v>
      </c>
      <c r="G58" s="294">
        <f>F58/$F$134</f>
        <v>0.2549653564659381</v>
      </c>
    </row>
    <row r="59" spans="1:11">
      <c r="A59" s="295" t="s">
        <v>334</v>
      </c>
      <c r="B59" s="288" t="s">
        <v>336</v>
      </c>
      <c r="C59" s="295" t="s">
        <v>259</v>
      </c>
      <c r="D59" s="296">
        <f>120000-19370</f>
        <v>100630</v>
      </c>
      <c r="E59" s="297">
        <v>0.51</v>
      </c>
      <c r="F59" s="297">
        <f>(D59*E59)*1.2912</f>
        <v>66266.062560000006</v>
      </c>
      <c r="G59" s="298">
        <f t="shared" ref="G59:G80" si="9">F59/$F$134</f>
        <v>2.8377886223117416E-3</v>
      </c>
    </row>
    <row r="60" spans="1:11" s="39" customFormat="1">
      <c r="A60" s="295" t="s">
        <v>397</v>
      </c>
      <c r="B60" s="288" t="s">
        <v>392</v>
      </c>
      <c r="C60" s="295" t="s">
        <v>259</v>
      </c>
      <c r="D60" s="296">
        <f>D69+D70+D71+D73+D74+D75+D76+D77</f>
        <v>12351.75</v>
      </c>
      <c r="E60" s="297">
        <v>4.62</v>
      </c>
      <c r="F60" s="297">
        <f t="shared" ref="F60:F78" si="10">(D60*E60)*1.2912</f>
        <v>73682.437751999998</v>
      </c>
      <c r="G60" s="298">
        <f t="shared" si="9"/>
        <v>3.155388677688453E-3</v>
      </c>
    </row>
    <row r="61" spans="1:11">
      <c r="A61" s="295" t="s">
        <v>398</v>
      </c>
      <c r="B61" s="288" t="s">
        <v>337</v>
      </c>
      <c r="C61" s="295" t="s">
        <v>259</v>
      </c>
      <c r="D61" s="296">
        <v>40661</v>
      </c>
      <c r="E61" s="297">
        <v>1.23</v>
      </c>
      <c r="F61" s="297">
        <f t="shared" si="10"/>
        <v>64576.824335999991</v>
      </c>
      <c r="G61" s="298">
        <f t="shared" si="9"/>
        <v>2.7654484103351975E-3</v>
      </c>
    </row>
    <row r="62" spans="1:11">
      <c r="A62" s="295" t="s">
        <v>399</v>
      </c>
      <c r="B62" s="288" t="s">
        <v>338</v>
      </c>
      <c r="C62" s="295" t="s">
        <v>261</v>
      </c>
      <c r="D62" s="296">
        <f>2*400</f>
        <v>800</v>
      </c>
      <c r="E62" s="297">
        <v>116.67</v>
      </c>
      <c r="F62" s="297">
        <f t="shared" si="10"/>
        <v>120515.44319999999</v>
      </c>
      <c r="G62" s="298">
        <f t="shared" si="9"/>
        <v>5.1609729070013557E-3</v>
      </c>
    </row>
    <row r="63" spans="1:11">
      <c r="A63" s="295" t="s">
        <v>400</v>
      </c>
      <c r="B63" s="288" t="s">
        <v>339</v>
      </c>
      <c r="C63" s="295" t="s">
        <v>261</v>
      </c>
      <c r="D63" s="296">
        <f>2*120</f>
        <v>240</v>
      </c>
      <c r="E63" s="297">
        <v>205.43</v>
      </c>
      <c r="F63" s="297">
        <f t="shared" si="10"/>
        <v>63660.291839999998</v>
      </c>
      <c r="G63" s="298">
        <f t="shared" si="9"/>
        <v>2.7261986739143445E-3</v>
      </c>
    </row>
    <row r="64" spans="1:11">
      <c r="A64" s="295" t="s">
        <v>401</v>
      </c>
      <c r="B64" s="288" t="s">
        <v>340</v>
      </c>
      <c r="C64" s="295" t="s">
        <v>261</v>
      </c>
      <c r="D64" s="296">
        <v>120</v>
      </c>
      <c r="E64" s="297">
        <v>132.72</v>
      </c>
      <c r="F64" s="297">
        <f t="shared" si="10"/>
        <v>20564.167679999999</v>
      </c>
      <c r="G64" s="298">
        <f t="shared" si="9"/>
        <v>8.8064325561483655E-4</v>
      </c>
    </row>
    <row r="65" spans="1:9">
      <c r="A65" s="295" t="s">
        <v>601</v>
      </c>
      <c r="B65" s="288" t="s">
        <v>342</v>
      </c>
      <c r="C65" s="295" t="s">
        <v>266</v>
      </c>
      <c r="D65" s="296">
        <f>12*5</f>
        <v>60</v>
      </c>
      <c r="E65" s="297">
        <v>1350.21</v>
      </c>
      <c r="F65" s="297">
        <f t="shared" si="10"/>
        <v>104603.46911999999</v>
      </c>
      <c r="G65" s="298">
        <f t="shared" si="9"/>
        <v>4.4795559454630374E-3</v>
      </c>
    </row>
    <row r="66" spans="1:9">
      <c r="A66" s="295" t="s">
        <v>602</v>
      </c>
      <c r="B66" s="288" t="s">
        <v>3</v>
      </c>
      <c r="C66" s="295" t="s">
        <v>266</v>
      </c>
      <c r="D66" s="296">
        <v>1</v>
      </c>
      <c r="E66" s="297">
        <v>35000</v>
      </c>
      <c r="F66" s="297">
        <f t="shared" si="10"/>
        <v>45192</v>
      </c>
      <c r="G66" s="298">
        <f t="shared" si="9"/>
        <v>1.9353095455670636E-3</v>
      </c>
    </row>
    <row r="67" spans="1:9">
      <c r="A67" s="295" t="s">
        <v>705</v>
      </c>
      <c r="B67" s="288" t="s">
        <v>343</v>
      </c>
      <c r="C67" s="295" t="s">
        <v>344</v>
      </c>
      <c r="D67" s="296">
        <f>50*30*3</f>
        <v>4500</v>
      </c>
      <c r="E67" s="297">
        <f>700000/D67</f>
        <v>155.55555555555554</v>
      </c>
      <c r="F67" s="297">
        <f t="shared" si="10"/>
        <v>903839.99999999988</v>
      </c>
      <c r="G67" s="298">
        <f t="shared" si="9"/>
        <v>3.8706190911341268E-2</v>
      </c>
    </row>
    <row r="68" spans="1:9">
      <c r="A68" s="295" t="s">
        <v>706</v>
      </c>
      <c r="B68" s="288" t="s">
        <v>2</v>
      </c>
      <c r="C68" s="295" t="s">
        <v>261</v>
      </c>
      <c r="D68" s="296">
        <f>(500+400)*2</f>
        <v>1800</v>
      </c>
      <c r="E68" s="297">
        <v>43</v>
      </c>
      <c r="F68" s="297">
        <f t="shared" si="10"/>
        <v>99938.87999999999</v>
      </c>
      <c r="G68" s="298">
        <f t="shared" si="9"/>
        <v>4.2797988236254487E-3</v>
      </c>
    </row>
    <row r="69" spans="1:9">
      <c r="A69" s="295" t="s">
        <v>707</v>
      </c>
      <c r="B69" s="288" t="s">
        <v>542</v>
      </c>
      <c r="C69" s="295" t="s">
        <v>259</v>
      </c>
      <c r="D69" s="296">
        <v>3000</v>
      </c>
      <c r="E69" s="297">
        <v>599.49</v>
      </c>
      <c r="F69" s="297">
        <f t="shared" si="10"/>
        <v>2322184.4639999997</v>
      </c>
      <c r="G69" s="298">
        <f t="shared" si="9"/>
        <v>9.9445604526171336E-2</v>
      </c>
    </row>
    <row r="70" spans="1:9" s="39" customFormat="1">
      <c r="A70" s="295" t="s">
        <v>708</v>
      </c>
      <c r="B70" s="364" t="s">
        <v>701</v>
      </c>
      <c r="C70" s="295" t="s">
        <v>259</v>
      </c>
      <c r="D70" s="296">
        <v>650</v>
      </c>
      <c r="E70" s="297">
        <f>250000/650</f>
        <v>384.61538461538464</v>
      </c>
      <c r="F70" s="297">
        <f t="shared" si="10"/>
        <v>322800</v>
      </c>
      <c r="G70" s="298">
        <f t="shared" si="9"/>
        <v>1.3823639611193312E-2</v>
      </c>
    </row>
    <row r="71" spans="1:9" s="39" customFormat="1">
      <c r="A71" s="295" t="s">
        <v>709</v>
      </c>
      <c r="B71" s="364" t="s">
        <v>704</v>
      </c>
      <c r="C71" s="295" t="s">
        <v>261</v>
      </c>
      <c r="D71" s="296">
        <v>540</v>
      </c>
      <c r="E71" s="297">
        <f>120000/540</f>
        <v>222.22222222222223</v>
      </c>
      <c r="F71" s="297">
        <f t="shared" si="10"/>
        <v>154944</v>
      </c>
      <c r="G71" s="298">
        <f t="shared" si="9"/>
        <v>6.6353470133727896E-3</v>
      </c>
    </row>
    <row r="72" spans="1:9" s="39" customFormat="1">
      <c r="A72" s="295" t="s">
        <v>710</v>
      </c>
      <c r="B72" s="288" t="s">
        <v>703</v>
      </c>
      <c r="C72" s="295" t="s">
        <v>259</v>
      </c>
      <c r="D72" s="296">
        <v>17500</v>
      </c>
      <c r="E72" s="297">
        <f>230000/17500</f>
        <v>13.142857142857142</v>
      </c>
      <c r="F72" s="297">
        <f t="shared" si="10"/>
        <v>296976</v>
      </c>
      <c r="G72" s="298">
        <f t="shared" si="9"/>
        <v>1.2717748442297847E-2</v>
      </c>
    </row>
    <row r="73" spans="1:9">
      <c r="A73" s="295" t="s">
        <v>711</v>
      </c>
      <c r="B73" s="288" t="s">
        <v>345</v>
      </c>
      <c r="C73" s="295" t="s">
        <v>259</v>
      </c>
      <c r="D73" s="296">
        <v>361.75</v>
      </c>
      <c r="E73" s="297">
        <v>1005.68</v>
      </c>
      <c r="F73" s="297">
        <f t="shared" si="10"/>
        <v>469744.68028799997</v>
      </c>
      <c r="G73" s="298">
        <f t="shared" si="9"/>
        <v>2.0116422458415537E-2</v>
      </c>
    </row>
    <row r="74" spans="1:9">
      <c r="A74" s="295" t="s">
        <v>712</v>
      </c>
      <c r="B74" s="288" t="s">
        <v>389</v>
      </c>
      <c r="C74" s="295" t="s">
        <v>259</v>
      </c>
      <c r="D74" s="296">
        <v>20</v>
      </c>
      <c r="E74" s="297">
        <v>500</v>
      </c>
      <c r="F74" s="297">
        <f t="shared" si="10"/>
        <v>12911.999999999998</v>
      </c>
      <c r="G74" s="298">
        <f t="shared" si="9"/>
        <v>5.529455844477324E-4</v>
      </c>
    </row>
    <row r="75" spans="1:9">
      <c r="A75" s="295" t="s">
        <v>713</v>
      </c>
      <c r="B75" s="288" t="s">
        <v>390</v>
      </c>
      <c r="C75" s="295" t="s">
        <v>259</v>
      </c>
      <c r="D75" s="296">
        <f>150+30</f>
        <v>180</v>
      </c>
      <c r="E75" s="297">
        <v>599.49</v>
      </c>
      <c r="F75" s="297">
        <f t="shared" si="10"/>
        <v>139331.06783999997</v>
      </c>
      <c r="G75" s="298">
        <f t="shared" si="9"/>
        <v>5.9667362715702795E-3</v>
      </c>
    </row>
    <row r="76" spans="1:9">
      <c r="A76" s="295" t="s">
        <v>714</v>
      </c>
      <c r="B76" s="288" t="s">
        <v>346</v>
      </c>
      <c r="C76" s="295" t="s">
        <v>259</v>
      </c>
      <c r="D76" s="296">
        <v>100</v>
      </c>
      <c r="E76" s="297">
        <v>1005.68</v>
      </c>
      <c r="F76" s="297">
        <f t="shared" si="10"/>
        <v>129853.4016</v>
      </c>
      <c r="G76" s="298">
        <f t="shared" si="9"/>
        <v>5.5608631536739556E-3</v>
      </c>
    </row>
    <row r="77" spans="1:9">
      <c r="A77" s="295" t="s">
        <v>715</v>
      </c>
      <c r="B77" s="288" t="s">
        <v>347</v>
      </c>
      <c r="C77" s="295" t="s">
        <v>259</v>
      </c>
      <c r="D77" s="296">
        <f>7500</f>
        <v>7500</v>
      </c>
      <c r="E77" s="297">
        <f>50.93</f>
        <v>50.93</v>
      </c>
      <c r="F77" s="297">
        <f t="shared" si="10"/>
        <v>493206.11999999994</v>
      </c>
      <c r="G77" s="298">
        <f t="shared" si="9"/>
        <v>2.112113896194226E-2</v>
      </c>
    </row>
    <row r="78" spans="1:9" s="11" customFormat="1">
      <c r="A78" s="295" t="s">
        <v>716</v>
      </c>
      <c r="B78" s="288" t="s">
        <v>4</v>
      </c>
      <c r="C78" s="295" t="s">
        <v>266</v>
      </c>
      <c r="D78" s="296">
        <v>6</v>
      </c>
      <c r="E78" s="297">
        <f>[1]Pessoal!E15*3</f>
        <v>6322.5470069999992</v>
      </c>
      <c r="F78" s="297">
        <f t="shared" si="10"/>
        <v>48982.036172630389</v>
      </c>
      <c r="G78" s="298">
        <f t="shared" si="9"/>
        <v>2.0976146699903256E-3</v>
      </c>
    </row>
    <row r="79" spans="1:9">
      <c r="A79" s="295"/>
      <c r="B79" s="292"/>
      <c r="C79" s="291"/>
      <c r="D79" s="303"/>
      <c r="E79" s="303"/>
      <c r="F79" s="299"/>
      <c r="G79" s="300"/>
    </row>
    <row r="80" spans="1:9">
      <c r="A80" s="291" t="s">
        <v>348</v>
      </c>
      <c r="B80" s="292" t="s">
        <v>6</v>
      </c>
      <c r="C80" s="291"/>
      <c r="D80" s="303"/>
      <c r="E80" s="303">
        <v>0</v>
      </c>
      <c r="F80" s="293">
        <f>F81+F93+F102</f>
        <v>14906997.240000002</v>
      </c>
      <c r="G80" s="294">
        <f t="shared" si="9"/>
        <v>0.63837967016980612</v>
      </c>
      <c r="I80" t="s">
        <v>770</v>
      </c>
    </row>
    <row r="81" spans="1:7" s="39" customFormat="1">
      <c r="A81" s="291" t="s">
        <v>349</v>
      </c>
      <c r="B81" s="292" t="s">
        <v>717</v>
      </c>
      <c r="C81" s="291"/>
      <c r="D81" s="303"/>
      <c r="E81" s="303"/>
      <c r="F81" s="293">
        <f>SUM(F82:F92)</f>
        <v>12480597.600000001</v>
      </c>
      <c r="G81" s="294"/>
    </row>
    <row r="82" spans="1:7" s="39" customFormat="1">
      <c r="A82" s="295" t="s">
        <v>718</v>
      </c>
      <c r="B82" s="288" t="s">
        <v>7</v>
      </c>
      <c r="C82" s="295" t="s">
        <v>266</v>
      </c>
      <c r="D82" s="301">
        <v>1</v>
      </c>
      <c r="E82" s="297">
        <v>50000</v>
      </c>
      <c r="F82" s="297">
        <f t="shared" ref="F82:F91" si="11">(D82*E82)*1.2318</f>
        <v>61590</v>
      </c>
      <c r="G82" s="298">
        <f t="shared" ref="G82:G92" si="12">F82/$F$134</f>
        <v>2.6375401600167163E-3</v>
      </c>
    </row>
    <row r="83" spans="1:7">
      <c r="A83" s="295" t="s">
        <v>719</v>
      </c>
      <c r="B83" s="288" t="s">
        <v>350</v>
      </c>
      <c r="C83" s="295" t="s">
        <v>266</v>
      </c>
      <c r="D83" s="301">
        <v>2</v>
      </c>
      <c r="E83" s="297">
        <f>4200000+(135000/2)</f>
        <v>4267500</v>
      </c>
      <c r="F83" s="297">
        <f t="shared" si="11"/>
        <v>10513413</v>
      </c>
      <c r="G83" s="298">
        <f t="shared" si="12"/>
        <v>0.45022810531485352</v>
      </c>
    </row>
    <row r="84" spans="1:7">
      <c r="A84" s="295" t="s">
        <v>720</v>
      </c>
      <c r="B84" s="365" t="s">
        <v>693</v>
      </c>
      <c r="C84" s="295" t="s">
        <v>266</v>
      </c>
      <c r="D84" s="301">
        <v>2</v>
      </c>
      <c r="E84" s="297">
        <v>45000</v>
      </c>
      <c r="F84" s="297">
        <f t="shared" si="11"/>
        <v>110862</v>
      </c>
      <c r="G84" s="298">
        <f t="shared" si="12"/>
        <v>4.7475722880300896E-3</v>
      </c>
    </row>
    <row r="85" spans="1:7" s="11" customFormat="1">
      <c r="A85" s="295" t="s">
        <v>721</v>
      </c>
      <c r="B85" s="365" t="s">
        <v>544</v>
      </c>
      <c r="C85" s="295" t="s">
        <v>266</v>
      </c>
      <c r="D85" s="301">
        <v>2</v>
      </c>
      <c r="E85" s="297">
        <v>200000</v>
      </c>
      <c r="F85" s="297">
        <f t="shared" si="11"/>
        <v>492720</v>
      </c>
      <c r="G85" s="298">
        <f t="shared" si="12"/>
        <v>2.110032128013373E-2</v>
      </c>
    </row>
    <row r="86" spans="1:7">
      <c r="A86" s="295" t="s">
        <v>722</v>
      </c>
      <c r="B86" s="288" t="s">
        <v>8</v>
      </c>
      <c r="C86" s="295" t="s">
        <v>266</v>
      </c>
      <c r="D86" s="301">
        <v>1</v>
      </c>
      <c r="E86" s="297">
        <v>150000</v>
      </c>
      <c r="F86" s="297">
        <f t="shared" si="11"/>
        <v>184770</v>
      </c>
      <c r="G86" s="298">
        <f t="shared" si="12"/>
        <v>7.9126204800501494E-3</v>
      </c>
    </row>
    <row r="87" spans="1:7">
      <c r="A87" s="295" t="s">
        <v>731</v>
      </c>
      <c r="B87" s="288" t="s">
        <v>10</v>
      </c>
      <c r="C87" s="295" t="s">
        <v>266</v>
      </c>
      <c r="D87" s="301">
        <v>1</v>
      </c>
      <c r="E87" s="297">
        <v>80000</v>
      </c>
      <c r="F87" s="297">
        <f t="shared" si="11"/>
        <v>98544</v>
      </c>
      <c r="G87" s="298">
        <f t="shared" si="12"/>
        <v>4.2200642560267466E-3</v>
      </c>
    </row>
    <row r="88" spans="1:7" s="39" customFormat="1">
      <c r="A88" s="295" t="s">
        <v>747</v>
      </c>
      <c r="B88" s="288" t="s">
        <v>739</v>
      </c>
      <c r="C88" s="295" t="s">
        <v>266</v>
      </c>
      <c r="D88" s="301">
        <v>4</v>
      </c>
      <c r="E88" s="297">
        <v>167000</v>
      </c>
      <c r="F88" s="297">
        <f t="shared" si="11"/>
        <v>822842.4</v>
      </c>
      <c r="G88" s="298">
        <f t="shared" si="12"/>
        <v>3.5237536537823334E-2</v>
      </c>
    </row>
    <row r="89" spans="1:7" s="39" customFormat="1">
      <c r="A89" s="295" t="s">
        <v>748</v>
      </c>
      <c r="B89" s="288" t="s">
        <v>740</v>
      </c>
      <c r="C89" s="295" t="s">
        <v>266</v>
      </c>
      <c r="D89" s="301">
        <v>1</v>
      </c>
      <c r="E89" s="297">
        <v>12000</v>
      </c>
      <c r="F89" s="297">
        <f t="shared" si="11"/>
        <v>14781.6</v>
      </c>
      <c r="G89" s="298">
        <f t="shared" si="12"/>
        <v>6.3300963840401197E-4</v>
      </c>
    </row>
    <row r="90" spans="1:7" s="39" customFormat="1">
      <c r="A90" s="295" t="s">
        <v>749</v>
      </c>
      <c r="B90" s="288" t="s">
        <v>741</v>
      </c>
      <c r="C90" s="295" t="s">
        <v>266</v>
      </c>
      <c r="D90" s="301">
        <v>2</v>
      </c>
      <c r="E90" s="297">
        <v>3000</v>
      </c>
      <c r="F90" s="297">
        <f t="shared" si="11"/>
        <v>7390.8</v>
      </c>
      <c r="G90" s="298">
        <f t="shared" si="12"/>
        <v>3.1650481920200599E-4</v>
      </c>
    </row>
    <row r="91" spans="1:7" s="39" customFormat="1">
      <c r="A91" s="295" t="s">
        <v>750</v>
      </c>
      <c r="B91" s="288" t="s">
        <v>742</v>
      </c>
      <c r="C91" s="295" t="s">
        <v>266</v>
      </c>
      <c r="D91" s="301">
        <v>3</v>
      </c>
      <c r="E91" s="297">
        <v>2000</v>
      </c>
      <c r="F91" s="297">
        <f t="shared" si="11"/>
        <v>7390.8</v>
      </c>
      <c r="G91" s="298">
        <f t="shared" si="12"/>
        <v>3.1650481920200599E-4</v>
      </c>
    </row>
    <row r="92" spans="1:7" s="39" customFormat="1">
      <c r="A92" s="295" t="s">
        <v>751</v>
      </c>
      <c r="B92" s="288" t="s">
        <v>743</v>
      </c>
      <c r="C92" s="295" t="s">
        <v>266</v>
      </c>
      <c r="D92" s="301">
        <v>1</v>
      </c>
      <c r="E92" s="297">
        <v>135000</v>
      </c>
      <c r="F92" s="297">
        <f>(D92*E92)*1.2318</f>
        <v>166293</v>
      </c>
      <c r="G92" s="298">
        <f t="shared" si="12"/>
        <v>7.1213584320451344E-3</v>
      </c>
    </row>
    <row r="93" spans="1:7" s="39" customFormat="1">
      <c r="A93" s="291" t="s">
        <v>351</v>
      </c>
      <c r="B93" s="292" t="s">
        <v>723</v>
      </c>
      <c r="C93" s="295"/>
      <c r="D93" s="301"/>
      <c r="E93" s="297"/>
      <c r="F93" s="293">
        <f>SUM(F94:F101)</f>
        <v>609494.6399999999</v>
      </c>
      <c r="G93" s="298"/>
    </row>
    <row r="94" spans="1:7" s="39" customFormat="1" ht="24">
      <c r="A94" s="295" t="s">
        <v>724</v>
      </c>
      <c r="B94" s="364" t="s">
        <v>695</v>
      </c>
      <c r="C94" s="295" t="s">
        <v>266</v>
      </c>
      <c r="D94" s="301">
        <v>1</v>
      </c>
      <c r="E94" s="297">
        <v>145000</v>
      </c>
      <c r="F94" s="297">
        <f t="shared" ref="F94:F116" si="13">(D94*E94)*1.2318</f>
        <v>178611</v>
      </c>
      <c r="G94" s="298">
        <f t="shared" ref="G94:G101" si="14">F94/$F$134</f>
        <v>7.6488664640484783E-3</v>
      </c>
    </row>
    <row r="95" spans="1:7" s="39" customFormat="1">
      <c r="A95" s="295" t="s">
        <v>725</v>
      </c>
      <c r="B95" s="288" t="s">
        <v>697</v>
      </c>
      <c r="C95" s="295" t="s">
        <v>266</v>
      </c>
      <c r="D95" s="301">
        <v>1</v>
      </c>
      <c r="E95" s="297">
        <v>20000</v>
      </c>
      <c r="F95" s="297">
        <f t="shared" si="13"/>
        <v>24636</v>
      </c>
      <c r="G95" s="298">
        <f t="shared" si="14"/>
        <v>1.0550160640066867E-3</v>
      </c>
    </row>
    <row r="96" spans="1:7" s="39" customFormat="1">
      <c r="A96" s="295" t="s">
        <v>726</v>
      </c>
      <c r="B96" s="288" t="s">
        <v>698</v>
      </c>
      <c r="C96" s="295" t="s">
        <v>266</v>
      </c>
      <c r="D96" s="301">
        <v>1</v>
      </c>
      <c r="E96" s="297">
        <v>61000</v>
      </c>
      <c r="F96" s="297">
        <f t="shared" si="13"/>
        <v>75139.8</v>
      </c>
      <c r="G96" s="298">
        <f t="shared" si="14"/>
        <v>3.2177989952203944E-3</v>
      </c>
    </row>
    <row r="97" spans="1:7" s="39" customFormat="1">
      <c r="A97" s="295" t="s">
        <v>727</v>
      </c>
      <c r="B97" s="288" t="s">
        <v>699</v>
      </c>
      <c r="C97" s="295" t="s">
        <v>266</v>
      </c>
      <c r="D97" s="301">
        <v>1</v>
      </c>
      <c r="E97" s="297">
        <v>12800</v>
      </c>
      <c r="F97" s="297">
        <f t="shared" si="13"/>
        <v>15767.04</v>
      </c>
      <c r="G97" s="298">
        <f t="shared" si="14"/>
        <v>6.7521028096427949E-4</v>
      </c>
    </row>
    <row r="98" spans="1:7" s="39" customFormat="1">
      <c r="A98" s="295" t="s">
        <v>728</v>
      </c>
      <c r="B98" s="288" t="s">
        <v>700</v>
      </c>
      <c r="C98" s="295" t="s">
        <v>266</v>
      </c>
      <c r="D98" s="301">
        <v>1</v>
      </c>
      <c r="E98" s="297">
        <v>50000</v>
      </c>
      <c r="F98" s="297">
        <f t="shared" si="13"/>
        <v>61590</v>
      </c>
      <c r="G98" s="298">
        <f t="shared" si="14"/>
        <v>2.6375401600167163E-3</v>
      </c>
    </row>
    <row r="99" spans="1:7" s="39" customFormat="1">
      <c r="A99" s="295" t="s">
        <v>729</v>
      </c>
      <c r="B99" s="364" t="s">
        <v>702</v>
      </c>
      <c r="C99" s="295" t="s">
        <v>266</v>
      </c>
      <c r="D99" s="301">
        <v>2</v>
      </c>
      <c r="E99" s="297">
        <v>8000</v>
      </c>
      <c r="F99" s="297">
        <f t="shared" si="13"/>
        <v>19708.8</v>
      </c>
      <c r="G99" s="298">
        <f t="shared" si="14"/>
        <v>8.4401285120534926E-4</v>
      </c>
    </row>
    <row r="100" spans="1:7" s="39" customFormat="1">
      <c r="A100" s="295" t="s">
        <v>730</v>
      </c>
      <c r="B100" s="288" t="s">
        <v>696</v>
      </c>
      <c r="C100" s="295" t="s">
        <v>266</v>
      </c>
      <c r="D100" s="301">
        <v>1</v>
      </c>
      <c r="E100" s="297">
        <v>120000</v>
      </c>
      <c r="F100" s="297">
        <f t="shared" si="13"/>
        <v>147816</v>
      </c>
      <c r="G100" s="298">
        <f t="shared" si="14"/>
        <v>6.3300963840401195E-3</v>
      </c>
    </row>
    <row r="101" spans="1:7" s="39" customFormat="1">
      <c r="A101" s="295" t="s">
        <v>746</v>
      </c>
      <c r="B101" s="288" t="s">
        <v>744</v>
      </c>
      <c r="C101" s="295" t="s">
        <v>266</v>
      </c>
      <c r="D101" s="301">
        <v>1</v>
      </c>
      <c r="E101" s="297">
        <v>70000</v>
      </c>
      <c r="F101" s="297">
        <f t="shared" si="13"/>
        <v>86226</v>
      </c>
      <c r="G101" s="298">
        <f t="shared" si="14"/>
        <v>3.6925562240234032E-3</v>
      </c>
    </row>
    <row r="102" spans="1:7" s="39" customFormat="1">
      <c r="A102" s="291" t="s">
        <v>352</v>
      </c>
      <c r="B102" s="292" t="s">
        <v>737</v>
      </c>
      <c r="C102" s="295"/>
      <c r="D102" s="301"/>
      <c r="E102" s="297"/>
      <c r="F102" s="293">
        <f>SUM(F103:F108)</f>
        <v>1816905</v>
      </c>
      <c r="G102" s="298"/>
    </row>
    <row r="103" spans="1:7" s="39" customFormat="1">
      <c r="A103" s="295" t="s">
        <v>732</v>
      </c>
      <c r="B103" s="365" t="s">
        <v>543</v>
      </c>
      <c r="C103" s="295" t="s">
        <v>266</v>
      </c>
      <c r="D103" s="301">
        <v>1</v>
      </c>
      <c r="E103" s="297">
        <v>780000</v>
      </c>
      <c r="F103" s="297">
        <f t="shared" si="13"/>
        <v>960804</v>
      </c>
      <c r="G103" s="298">
        <f t="shared" ref="G103:G108" si="15">F103/$F$134</f>
        <v>4.114562649626078E-2</v>
      </c>
    </row>
    <row r="104" spans="1:7">
      <c r="A104" s="295" t="s">
        <v>733</v>
      </c>
      <c r="B104" s="288" t="s">
        <v>7</v>
      </c>
      <c r="C104" s="295" t="s">
        <v>266</v>
      </c>
      <c r="D104" s="301">
        <v>1</v>
      </c>
      <c r="E104" s="297">
        <v>50000</v>
      </c>
      <c r="F104" s="297">
        <f t="shared" si="13"/>
        <v>61590</v>
      </c>
      <c r="G104" s="298">
        <f t="shared" si="15"/>
        <v>2.6375401600167163E-3</v>
      </c>
    </row>
    <row r="105" spans="1:7">
      <c r="A105" s="295" t="s">
        <v>734</v>
      </c>
      <c r="B105" s="288" t="s">
        <v>738</v>
      </c>
      <c r="C105" s="295" t="s">
        <v>266</v>
      </c>
      <c r="D105" s="301">
        <v>1</v>
      </c>
      <c r="E105" s="297">
        <v>265000</v>
      </c>
      <c r="F105" s="297">
        <f t="shared" si="13"/>
        <v>326427</v>
      </c>
      <c r="G105" s="298">
        <f t="shared" si="15"/>
        <v>1.3978962848088597E-2</v>
      </c>
    </row>
    <row r="106" spans="1:7">
      <c r="A106" s="295" t="s">
        <v>735</v>
      </c>
      <c r="B106" s="288" t="s">
        <v>11</v>
      </c>
      <c r="C106" s="295" t="s">
        <v>266</v>
      </c>
      <c r="D106" s="301">
        <v>1</v>
      </c>
      <c r="E106" s="297">
        <v>120000</v>
      </c>
      <c r="F106" s="297">
        <f t="shared" si="13"/>
        <v>147816</v>
      </c>
      <c r="G106" s="298">
        <f t="shared" si="15"/>
        <v>6.3300963840401195E-3</v>
      </c>
    </row>
    <row r="107" spans="1:7">
      <c r="A107" s="295" t="s">
        <v>736</v>
      </c>
      <c r="B107" s="288" t="s">
        <v>12</v>
      </c>
      <c r="C107" s="295" t="s">
        <v>266</v>
      </c>
      <c r="D107" s="301">
        <v>1</v>
      </c>
      <c r="E107" s="297">
        <v>150000</v>
      </c>
      <c r="F107" s="297">
        <f t="shared" si="13"/>
        <v>184770</v>
      </c>
      <c r="G107" s="298">
        <f t="shared" si="15"/>
        <v>7.9126204800501494E-3</v>
      </c>
    </row>
    <row r="108" spans="1:7" s="39" customFormat="1">
      <c r="A108" s="295" t="s">
        <v>752</v>
      </c>
      <c r="B108" s="288" t="s">
        <v>745</v>
      </c>
      <c r="C108" s="295" t="s">
        <v>266</v>
      </c>
      <c r="D108" s="301">
        <v>1</v>
      </c>
      <c r="E108" s="297">
        <v>110000</v>
      </c>
      <c r="F108" s="297">
        <f t="shared" si="13"/>
        <v>135498</v>
      </c>
      <c r="G108" s="298">
        <f t="shared" si="15"/>
        <v>5.8025883520367765E-3</v>
      </c>
    </row>
    <row r="109" spans="1:7">
      <c r="A109" s="295"/>
      <c r="B109" s="288"/>
      <c r="C109" s="295"/>
      <c r="D109" s="304"/>
      <c r="E109" s="299"/>
      <c r="F109" s="297"/>
      <c r="G109" s="366"/>
    </row>
    <row r="110" spans="1:7">
      <c r="A110" s="291" t="s">
        <v>355</v>
      </c>
      <c r="B110" s="292" t="s">
        <v>13</v>
      </c>
      <c r="C110" s="291"/>
      <c r="D110" s="296"/>
      <c r="E110" s="300"/>
      <c r="F110" s="293">
        <f>SUM(F111:F116)</f>
        <v>44431.026000000005</v>
      </c>
      <c r="G110" s="294">
        <f>F110/$F$134</f>
        <v>1.9027214714360595E-3</v>
      </c>
    </row>
    <row r="111" spans="1:7" s="39" customFormat="1">
      <c r="A111" s="295" t="s">
        <v>356</v>
      </c>
      <c r="B111" s="288" t="s">
        <v>14</v>
      </c>
      <c r="C111" s="295" t="s">
        <v>266</v>
      </c>
      <c r="D111" s="296">
        <v>8</v>
      </c>
      <c r="E111" s="297">
        <v>2000</v>
      </c>
      <c r="F111" s="297">
        <f t="shared" si="13"/>
        <v>19708.8</v>
      </c>
      <c r="G111" s="298">
        <f t="shared" ref="G111:G116" si="16">F111/$F$134</f>
        <v>8.4401285120534926E-4</v>
      </c>
    </row>
    <row r="112" spans="1:7">
      <c r="A112" s="295" t="s">
        <v>357</v>
      </c>
      <c r="B112" s="288" t="s">
        <v>15</v>
      </c>
      <c r="C112" s="295" t="s">
        <v>266</v>
      </c>
      <c r="D112" s="296">
        <f>16+50</f>
        <v>66</v>
      </c>
      <c r="E112" s="297">
        <v>120</v>
      </c>
      <c r="F112" s="297">
        <f t="shared" si="13"/>
        <v>9755.8559999999998</v>
      </c>
      <c r="G112" s="298">
        <f t="shared" si="16"/>
        <v>4.1778636134664788E-4</v>
      </c>
    </row>
    <row r="113" spans="1:10">
      <c r="A113" s="295" t="s">
        <v>358</v>
      </c>
      <c r="B113" s="288" t="s">
        <v>16</v>
      </c>
      <c r="C113" s="295" t="s">
        <v>266</v>
      </c>
      <c r="D113" s="296">
        <v>10</v>
      </c>
      <c r="E113" s="297">
        <v>250</v>
      </c>
      <c r="F113" s="297">
        <f t="shared" si="13"/>
        <v>3079.5</v>
      </c>
      <c r="G113" s="298">
        <f t="shared" si="16"/>
        <v>1.3187700800083583E-4</v>
      </c>
    </row>
    <row r="114" spans="1:10">
      <c r="A114" s="295" t="s">
        <v>359</v>
      </c>
      <c r="B114" s="288" t="s">
        <v>17</v>
      </c>
      <c r="C114" s="295" t="s">
        <v>266</v>
      </c>
      <c r="D114" s="296">
        <v>4</v>
      </c>
      <c r="E114" s="297">
        <v>1250</v>
      </c>
      <c r="F114" s="297">
        <f t="shared" si="13"/>
        <v>6159</v>
      </c>
      <c r="G114" s="298">
        <f t="shared" si="16"/>
        <v>2.6375401600167166E-4</v>
      </c>
    </row>
    <row r="115" spans="1:10">
      <c r="A115" s="295" t="s">
        <v>360</v>
      </c>
      <c r="B115" s="288" t="s">
        <v>18</v>
      </c>
      <c r="C115" s="295" t="s">
        <v>266</v>
      </c>
      <c r="D115" s="296">
        <v>3</v>
      </c>
      <c r="E115" s="297">
        <v>1200</v>
      </c>
      <c r="F115" s="297">
        <f t="shared" si="13"/>
        <v>4434.4800000000005</v>
      </c>
      <c r="G115" s="298">
        <f t="shared" si="16"/>
        <v>1.8990289152120361E-4</v>
      </c>
    </row>
    <row r="116" spans="1:10">
      <c r="A116" s="295" t="s">
        <v>545</v>
      </c>
      <c r="B116" s="288" t="s">
        <v>546</v>
      </c>
      <c r="C116" s="295" t="s">
        <v>266</v>
      </c>
      <c r="D116" s="296">
        <v>14</v>
      </c>
      <c r="E116" s="297">
        <f>150/2</f>
        <v>75</v>
      </c>
      <c r="F116" s="297">
        <f t="shared" si="13"/>
        <v>1293.3900000000001</v>
      </c>
      <c r="G116" s="298">
        <f t="shared" si="16"/>
        <v>5.5388343360351049E-5</v>
      </c>
    </row>
    <row r="117" spans="1:10">
      <c r="A117" s="295"/>
      <c r="B117" s="287"/>
      <c r="C117" s="306"/>
      <c r="D117" s="296"/>
      <c r="E117" s="287"/>
      <c r="F117" s="287"/>
      <c r="G117" s="367"/>
    </row>
    <row r="118" spans="1:10">
      <c r="A118" s="291" t="s">
        <v>361</v>
      </c>
      <c r="B118" s="292" t="s">
        <v>19</v>
      </c>
      <c r="C118" s="291"/>
      <c r="D118" s="296"/>
      <c r="E118" s="303"/>
      <c r="F118" s="293">
        <f>SUM(F119:F124)</f>
        <v>37446.720000000001</v>
      </c>
      <c r="G118" s="294">
        <f t="shared" ref="G118:G123" si="17">F118/$F$134</f>
        <v>1.6036244172901637E-3</v>
      </c>
    </row>
    <row r="119" spans="1:10">
      <c r="A119" s="295" t="s">
        <v>362</v>
      </c>
      <c r="B119" s="288" t="s">
        <v>20</v>
      </c>
      <c r="C119" s="295" t="s">
        <v>266</v>
      </c>
      <c r="D119" s="296">
        <v>1</v>
      </c>
      <c r="E119" s="297">
        <v>2200</v>
      </c>
      <c r="F119" s="297">
        <f t="shared" ref="F119:F124" si="18">(D119*E119)*1.2318</f>
        <v>2709.96</v>
      </c>
      <c r="G119" s="298">
        <f t="shared" si="17"/>
        <v>1.1605176704073552E-4</v>
      </c>
    </row>
    <row r="120" spans="1:10">
      <c r="A120" s="295" t="s">
        <v>363</v>
      </c>
      <c r="B120" s="288" t="s">
        <v>21</v>
      </c>
      <c r="C120" s="295" t="s">
        <v>266</v>
      </c>
      <c r="D120" s="296">
        <v>6</v>
      </c>
      <c r="E120" s="297">
        <v>1800</v>
      </c>
      <c r="F120" s="297">
        <f t="shared" si="18"/>
        <v>13303.44</v>
      </c>
      <c r="G120" s="298">
        <f t="shared" si="17"/>
        <v>5.6970867456361074E-4</v>
      </c>
    </row>
    <row r="121" spans="1:10">
      <c r="A121" s="295" t="s">
        <v>364</v>
      </c>
      <c r="B121" s="288" t="s">
        <v>22</v>
      </c>
      <c r="C121" s="295" t="s">
        <v>266</v>
      </c>
      <c r="D121" s="296">
        <v>6</v>
      </c>
      <c r="E121" s="297">
        <v>150</v>
      </c>
      <c r="F121" s="297">
        <f t="shared" si="18"/>
        <v>1108.6200000000001</v>
      </c>
      <c r="G121" s="298">
        <f t="shared" si="17"/>
        <v>4.7475722880300902E-5</v>
      </c>
    </row>
    <row r="122" spans="1:10">
      <c r="A122" s="295" t="s">
        <v>365</v>
      </c>
      <c r="B122" s="288" t="s">
        <v>23</v>
      </c>
      <c r="C122" s="295" t="s">
        <v>266</v>
      </c>
      <c r="D122" s="296">
        <v>2</v>
      </c>
      <c r="E122" s="297">
        <v>450</v>
      </c>
      <c r="F122" s="297">
        <f t="shared" si="18"/>
        <v>1108.6200000000001</v>
      </c>
      <c r="G122" s="298">
        <f t="shared" si="17"/>
        <v>4.7475722880300902E-5</v>
      </c>
      <c r="J122" t="s">
        <v>770</v>
      </c>
    </row>
    <row r="123" spans="1:10">
      <c r="A123" s="295" t="s">
        <v>366</v>
      </c>
      <c r="B123" s="288" t="s">
        <v>24</v>
      </c>
      <c r="C123" s="295" t="s">
        <v>266</v>
      </c>
      <c r="D123" s="296">
        <v>4</v>
      </c>
      <c r="E123" s="297">
        <v>150</v>
      </c>
      <c r="F123" s="297">
        <f t="shared" si="18"/>
        <v>739.08</v>
      </c>
      <c r="G123" s="298">
        <f t="shared" si="17"/>
        <v>3.1650481920200601E-5</v>
      </c>
    </row>
    <row r="124" spans="1:10">
      <c r="A124" s="295" t="s">
        <v>547</v>
      </c>
      <c r="B124" s="288" t="s">
        <v>548</v>
      </c>
      <c r="C124" s="295" t="s">
        <v>266</v>
      </c>
      <c r="D124" s="296">
        <v>1</v>
      </c>
      <c r="E124" s="297">
        <v>15000</v>
      </c>
      <c r="F124" s="297">
        <f t="shared" si="18"/>
        <v>18477</v>
      </c>
      <c r="G124" s="298">
        <f t="shared" ref="G124" si="19">F124/$F$134</f>
        <v>7.9126204800501494E-4</v>
      </c>
    </row>
    <row r="125" spans="1:10">
      <c r="A125" s="295"/>
      <c r="B125" s="288"/>
      <c r="C125" s="295"/>
      <c r="D125" s="296"/>
      <c r="E125" s="307"/>
      <c r="F125" s="307"/>
      <c r="G125" s="300"/>
    </row>
    <row r="126" spans="1:10">
      <c r="A126" s="291" t="s">
        <v>367</v>
      </c>
      <c r="B126" s="292" t="s">
        <v>368</v>
      </c>
      <c r="C126" s="291"/>
      <c r="D126" s="296"/>
      <c r="E126" s="303"/>
      <c r="F126" s="293">
        <f>SUM(F127:F128)</f>
        <v>817904.94802283135</v>
      </c>
      <c r="G126" s="294">
        <f>F126/$F$134</f>
        <v>3.5026094292687167E-2</v>
      </c>
    </row>
    <row r="127" spans="1:10">
      <c r="A127" s="295" t="s">
        <v>369</v>
      </c>
      <c r="B127" s="288" t="s">
        <v>370</v>
      </c>
      <c r="C127" s="295" t="s">
        <v>371</v>
      </c>
      <c r="D127" s="296">
        <v>10</v>
      </c>
      <c r="E127" s="297">
        <f>F118+F110+F58+F43+F25+F17+F7</f>
        <v>6389916.7723886296</v>
      </c>
      <c r="F127" s="297">
        <f>(D127*E127/100)*1.2318</f>
        <v>787109.94802283135</v>
      </c>
      <c r="G127" s="298">
        <f>F127/$F$134</f>
        <v>3.3707324212678809E-2</v>
      </c>
    </row>
    <row r="128" spans="1:10" s="39" customFormat="1">
      <c r="A128" s="295" t="s">
        <v>372</v>
      </c>
      <c r="B128" s="288" t="s">
        <v>26</v>
      </c>
      <c r="C128" s="295" t="s">
        <v>266</v>
      </c>
      <c r="D128" s="296">
        <v>1</v>
      </c>
      <c r="E128" s="297">
        <v>25000</v>
      </c>
      <c r="F128" s="297">
        <f t="shared" ref="F128" si="20">(D128*E128)*1.2318</f>
        <v>30795</v>
      </c>
      <c r="G128" s="298">
        <f>F128/$F$134</f>
        <v>1.3187700800083582E-3</v>
      </c>
    </row>
    <row r="129" spans="1:10" s="39" customFormat="1">
      <c r="A129" s="295"/>
      <c r="B129" s="368"/>
      <c r="C129" s="369"/>
      <c r="D129" s="296"/>
      <c r="E129" s="287"/>
      <c r="F129" s="287"/>
      <c r="G129" s="287"/>
    </row>
    <row r="130" spans="1:10" s="39" customFormat="1">
      <c r="A130" s="291" t="s">
        <v>373</v>
      </c>
      <c r="B130" s="308" t="s">
        <v>374</v>
      </c>
      <c r="C130" s="309"/>
      <c r="D130" s="296"/>
      <c r="E130" s="287"/>
      <c r="F130" s="293">
        <f>SUM(F131:F132)</f>
        <v>164818.2476540542</v>
      </c>
      <c r="G130" s="294">
        <f>F130/$F$134</f>
        <v>7.0582033981352321E-3</v>
      </c>
    </row>
    <row r="131" spans="1:10" s="39" customFormat="1">
      <c r="A131" s="295" t="s">
        <v>375</v>
      </c>
      <c r="B131" s="288" t="s">
        <v>376</v>
      </c>
      <c r="C131" s="295" t="s">
        <v>371</v>
      </c>
      <c r="D131" s="370">
        <v>5.0000000000000001E-3</v>
      </c>
      <c r="E131" s="297">
        <f>F126+F118+F110+F80+F58</f>
        <v>21760553.280411463</v>
      </c>
      <c r="F131" s="297">
        <f t="shared" ref="F131:F132" si="21">(D131*E131)*1.2318</f>
        <v>134023.2476540542</v>
      </c>
      <c r="G131" s="298">
        <f>F131/$F$134</f>
        <v>5.7394333181268733E-3</v>
      </c>
    </row>
    <row r="132" spans="1:10" s="39" customFormat="1">
      <c r="A132" s="295" t="s">
        <v>377</v>
      </c>
      <c r="B132" s="288" t="s">
        <v>27</v>
      </c>
      <c r="C132" s="295" t="s">
        <v>371</v>
      </c>
      <c r="D132" s="370">
        <v>5.0000000000000001E-3</v>
      </c>
      <c r="E132" s="297">
        <v>5000000</v>
      </c>
      <c r="F132" s="297">
        <f t="shared" si="21"/>
        <v>30795</v>
      </c>
      <c r="G132" s="298">
        <f>F132/$F$134</f>
        <v>1.3187700800083582E-3</v>
      </c>
    </row>
    <row r="133" spans="1:10">
      <c r="A133" s="370"/>
      <c r="B133" s="305"/>
      <c r="C133" s="314"/>
      <c r="D133" s="308"/>
      <c r="E133" s="308"/>
      <c r="F133" s="370"/>
      <c r="G133" s="370"/>
    </row>
    <row r="134" spans="1:10" ht="16" thickBot="1">
      <c r="A134" s="183"/>
      <c r="B134" s="360" t="s">
        <v>28</v>
      </c>
      <c r="C134" s="12"/>
      <c r="D134" s="446"/>
      <c r="E134" s="446"/>
      <c r="F134" s="361">
        <f>F130+F118+F110+F80+F58+F126+F7+F17+F25+F43+F48+F51</f>
        <v>23351303.208065521</v>
      </c>
      <c r="G134" s="362">
        <f>G130+G126+G118+G110+G80+G58+G6</f>
        <v>0.99999999999999989</v>
      </c>
      <c r="I134" s="438"/>
    </row>
    <row r="135" spans="1:10">
      <c r="G135" s="184"/>
      <c r="I135" s="447"/>
    </row>
    <row r="136" spans="1:10">
      <c r="F136" s="436"/>
      <c r="J136" s="437"/>
    </row>
  </sheetData>
  <mergeCells count="3">
    <mergeCell ref="B1:F1"/>
    <mergeCell ref="K1:L1"/>
    <mergeCell ref="I1:J1"/>
  </mergeCells>
  <pageMargins left="0.7" right="0.7" top="0.75" bottom="0.75" header="0.3" footer="0.3"/>
  <pageSetup paperSize="9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7"/>
  <sheetViews>
    <sheetView workbookViewId="0">
      <selection activeCell="H22" sqref="H22"/>
    </sheetView>
  </sheetViews>
  <sheetFormatPr baseColWidth="10" defaultColWidth="8.83203125" defaultRowHeight="15"/>
  <cols>
    <col min="1" max="1" width="48.33203125" style="39" bestFit="1" customWidth="1"/>
    <col min="2" max="2" width="16.83203125" bestFit="1" customWidth="1"/>
    <col min="3" max="3" width="14.5" style="39" bestFit="1" customWidth="1"/>
    <col min="4" max="4" width="19.1640625" style="39" bestFit="1" customWidth="1"/>
    <col min="5" max="9" width="15.83203125" bestFit="1" customWidth="1"/>
    <col min="10" max="29" width="14.33203125" bestFit="1" customWidth="1"/>
  </cols>
  <sheetData>
    <row r="1" spans="1:29">
      <c r="A1" s="39" t="s">
        <v>37</v>
      </c>
      <c r="B1" t="s">
        <v>434</v>
      </c>
      <c r="C1" s="39" t="s">
        <v>438</v>
      </c>
      <c r="D1" s="39" t="s">
        <v>437</v>
      </c>
      <c r="E1" s="116" t="s">
        <v>190</v>
      </c>
      <c r="F1" s="116" t="s">
        <v>191</v>
      </c>
      <c r="G1" s="116" t="s">
        <v>192</v>
      </c>
      <c r="H1" s="116" t="s">
        <v>193</v>
      </c>
      <c r="I1" s="116" t="s">
        <v>194</v>
      </c>
      <c r="J1" s="116" t="s">
        <v>195</v>
      </c>
      <c r="K1" s="116" t="s">
        <v>196</v>
      </c>
      <c r="L1" s="116" t="s">
        <v>197</v>
      </c>
      <c r="M1" s="116" t="s">
        <v>198</v>
      </c>
      <c r="N1" s="116" t="s">
        <v>199</v>
      </c>
      <c r="O1" s="116" t="s">
        <v>210</v>
      </c>
      <c r="P1" s="116" t="s">
        <v>211</v>
      </c>
      <c r="Q1" s="116" t="s">
        <v>212</v>
      </c>
      <c r="R1" s="116" t="s">
        <v>213</v>
      </c>
      <c r="S1" s="116" t="s">
        <v>214</v>
      </c>
      <c r="T1" s="116" t="s">
        <v>215</v>
      </c>
      <c r="U1" s="116" t="s">
        <v>216</v>
      </c>
      <c r="V1" s="116" t="s">
        <v>217</v>
      </c>
      <c r="W1" s="116" t="s">
        <v>218</v>
      </c>
      <c r="X1" s="116" t="s">
        <v>219</v>
      </c>
      <c r="Y1" s="116" t="s">
        <v>220</v>
      </c>
      <c r="Z1" s="116" t="s">
        <v>221</v>
      </c>
      <c r="AA1" s="116" t="s">
        <v>222</v>
      </c>
      <c r="AB1" s="116" t="s">
        <v>223</v>
      </c>
      <c r="AC1" s="116" t="s">
        <v>224</v>
      </c>
    </row>
    <row r="2" spans="1:29">
      <c r="A2" s="39" t="s">
        <v>439</v>
      </c>
      <c r="B2" s="187">
        <f>'Invest. em Pre e Implantação'!F7+'Invest. em Pre e Implantação'!F17+'Invest. em Pre e Implantação'!F25+'Invest. em Pre e Implantação'!F43+'Invest. em Pre e Implantação'!F51+'Invest. em Pre e Implantação'!F58+'Invest. em Pre e Implantação'!F126+'Invest. em Pre e Implantação'!F130</f>
        <v>7734210.2220655149</v>
      </c>
      <c r="C2" s="39">
        <v>25</v>
      </c>
      <c r="D2" s="184">
        <v>0.04</v>
      </c>
      <c r="E2" s="187">
        <f>$D2*$B2</f>
        <v>309368.40888262063</v>
      </c>
      <c r="F2" s="187">
        <f t="shared" ref="F2:AC2" si="0">$D$2*$B$2</f>
        <v>309368.40888262063</v>
      </c>
      <c r="G2" s="187">
        <f t="shared" si="0"/>
        <v>309368.40888262063</v>
      </c>
      <c r="H2" s="187">
        <f t="shared" si="0"/>
        <v>309368.40888262063</v>
      </c>
      <c r="I2" s="187">
        <f t="shared" si="0"/>
        <v>309368.40888262063</v>
      </c>
      <c r="J2" s="187">
        <f t="shared" si="0"/>
        <v>309368.40888262063</v>
      </c>
      <c r="K2" s="187">
        <f t="shared" si="0"/>
        <v>309368.40888262063</v>
      </c>
      <c r="L2" s="187">
        <f t="shared" si="0"/>
        <v>309368.40888262063</v>
      </c>
      <c r="M2" s="187">
        <f t="shared" si="0"/>
        <v>309368.40888262063</v>
      </c>
      <c r="N2" s="187">
        <f t="shared" si="0"/>
        <v>309368.40888262063</v>
      </c>
      <c r="O2" s="187">
        <f t="shared" si="0"/>
        <v>309368.40888262063</v>
      </c>
      <c r="P2" s="187">
        <f t="shared" si="0"/>
        <v>309368.40888262063</v>
      </c>
      <c r="Q2" s="187">
        <f t="shared" si="0"/>
        <v>309368.40888262063</v>
      </c>
      <c r="R2" s="187">
        <f t="shared" si="0"/>
        <v>309368.40888262063</v>
      </c>
      <c r="S2" s="187">
        <f t="shared" si="0"/>
        <v>309368.40888262063</v>
      </c>
      <c r="T2" s="187">
        <f t="shared" si="0"/>
        <v>309368.40888262063</v>
      </c>
      <c r="U2" s="187">
        <f t="shared" si="0"/>
        <v>309368.40888262063</v>
      </c>
      <c r="V2" s="187">
        <f t="shared" si="0"/>
        <v>309368.40888262063</v>
      </c>
      <c r="W2" s="187">
        <f t="shared" si="0"/>
        <v>309368.40888262063</v>
      </c>
      <c r="X2" s="187">
        <f t="shared" si="0"/>
        <v>309368.40888262063</v>
      </c>
      <c r="Y2" s="187">
        <f t="shared" si="0"/>
        <v>309368.40888262063</v>
      </c>
      <c r="Z2" s="187">
        <f t="shared" si="0"/>
        <v>309368.40888262063</v>
      </c>
      <c r="AA2" s="187">
        <f t="shared" si="0"/>
        <v>309368.40888262063</v>
      </c>
      <c r="AB2" s="187">
        <f t="shared" si="0"/>
        <v>309368.40888262063</v>
      </c>
      <c r="AC2" s="187">
        <f t="shared" si="0"/>
        <v>309368.40888262063</v>
      </c>
    </row>
    <row r="3" spans="1:29">
      <c r="A3" s="39" t="s">
        <v>440</v>
      </c>
      <c r="B3" s="187">
        <f>'Invest. em Pre e Implantação'!F80+'Invest. em Pre e Implantação'!F110+'Invest. em Pre e Implantação'!F118</f>
        <v>14988874.986000003</v>
      </c>
      <c r="C3" s="39">
        <v>10</v>
      </c>
      <c r="D3" s="184">
        <v>0.1</v>
      </c>
      <c r="E3" s="187">
        <f t="shared" ref="E3:X5" si="1">$D3*$B3</f>
        <v>1498887.4986000005</v>
      </c>
      <c r="F3" s="187">
        <f t="shared" si="1"/>
        <v>1498887.4986000005</v>
      </c>
      <c r="G3" s="187">
        <f t="shared" si="1"/>
        <v>1498887.4986000005</v>
      </c>
      <c r="H3" s="187">
        <f t="shared" si="1"/>
        <v>1498887.4986000005</v>
      </c>
      <c r="I3" s="187">
        <f t="shared" si="1"/>
        <v>1498887.4986000005</v>
      </c>
      <c r="J3" s="187">
        <f t="shared" si="1"/>
        <v>1498887.4986000005</v>
      </c>
      <c r="K3" s="187">
        <f t="shared" si="1"/>
        <v>1498887.4986000005</v>
      </c>
      <c r="L3" s="187">
        <f t="shared" si="1"/>
        <v>1498887.4986000005</v>
      </c>
      <c r="M3" s="187">
        <f t="shared" si="1"/>
        <v>1498887.4986000005</v>
      </c>
      <c r="N3" s="187">
        <f t="shared" si="1"/>
        <v>1498887.4986000005</v>
      </c>
    </row>
    <row r="4" spans="1:29">
      <c r="A4" s="39" t="s">
        <v>443</v>
      </c>
      <c r="B4" s="187">
        <f>Reinvestimento!I8</f>
        <v>2018246.9551794764</v>
      </c>
      <c r="C4" s="39">
        <v>25</v>
      </c>
      <c r="D4" s="184">
        <v>0.04</v>
      </c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>
        <f t="shared" si="1"/>
        <v>80729.878207179063</v>
      </c>
      <c r="P4" s="187">
        <f t="shared" si="1"/>
        <v>80729.878207179063</v>
      </c>
      <c r="Q4" s="187">
        <f t="shared" si="1"/>
        <v>80729.878207179063</v>
      </c>
      <c r="R4" s="187">
        <f t="shared" si="1"/>
        <v>80729.878207179063</v>
      </c>
      <c r="S4" s="187">
        <f t="shared" si="1"/>
        <v>80729.878207179063</v>
      </c>
      <c r="T4" s="187">
        <f t="shared" si="1"/>
        <v>80729.878207179063</v>
      </c>
      <c r="U4" s="187">
        <f t="shared" ref="U4:AC4" si="2">$D4*$B4</f>
        <v>80729.878207179063</v>
      </c>
      <c r="V4" s="187">
        <f t="shared" si="2"/>
        <v>80729.878207179063</v>
      </c>
      <c r="W4" s="187">
        <f t="shared" si="2"/>
        <v>80729.878207179063</v>
      </c>
      <c r="X4" s="187">
        <f t="shared" si="2"/>
        <v>80729.878207179063</v>
      </c>
      <c r="Y4" s="187">
        <f t="shared" si="2"/>
        <v>80729.878207179063</v>
      </c>
      <c r="Z4" s="187">
        <f t="shared" si="2"/>
        <v>80729.878207179063</v>
      </c>
      <c r="AA4" s="187">
        <f t="shared" si="2"/>
        <v>80729.878207179063</v>
      </c>
      <c r="AB4" s="187">
        <f t="shared" si="2"/>
        <v>80729.878207179063</v>
      </c>
      <c r="AC4" s="187">
        <f t="shared" si="2"/>
        <v>80729.878207179063</v>
      </c>
    </row>
    <row r="5" spans="1:29">
      <c r="A5" s="39" t="s">
        <v>446</v>
      </c>
      <c r="B5" s="187">
        <f>Reinvestimento!I18+Reinvestimento!I29+Reinvestimento!I36</f>
        <v>2660319.8235355685</v>
      </c>
      <c r="C5" s="39">
        <v>10</v>
      </c>
      <c r="D5" s="184">
        <v>0.1</v>
      </c>
      <c r="O5" s="187">
        <f t="shared" si="1"/>
        <v>266031.98235355684</v>
      </c>
      <c r="P5" s="187">
        <f t="shared" si="1"/>
        <v>266031.98235355684</v>
      </c>
      <c r="Q5" s="187">
        <f t="shared" si="1"/>
        <v>266031.98235355684</v>
      </c>
      <c r="R5" s="187">
        <f t="shared" si="1"/>
        <v>266031.98235355684</v>
      </c>
      <c r="S5" s="187">
        <f t="shared" si="1"/>
        <v>266031.98235355684</v>
      </c>
      <c r="T5" s="187">
        <f t="shared" si="1"/>
        <v>266031.98235355684</v>
      </c>
      <c r="U5" s="187">
        <f t="shared" si="1"/>
        <v>266031.98235355684</v>
      </c>
      <c r="V5" s="187">
        <f t="shared" si="1"/>
        <v>266031.98235355684</v>
      </c>
      <c r="W5" s="187">
        <f t="shared" si="1"/>
        <v>266031.98235355684</v>
      </c>
      <c r="X5" s="187">
        <f t="shared" si="1"/>
        <v>266031.98235355684</v>
      </c>
    </row>
    <row r="7" spans="1:29">
      <c r="A7" s="185" t="s">
        <v>28</v>
      </c>
      <c r="B7" s="187"/>
      <c r="E7" s="187">
        <f>SUM(E2:E5)</f>
        <v>1808255.9074826213</v>
      </c>
      <c r="F7" s="187">
        <f t="shared" ref="F7:AC7" si="3">SUM(F2:F5)</f>
        <v>1808255.9074826213</v>
      </c>
      <c r="G7" s="187">
        <f t="shared" si="3"/>
        <v>1808255.9074826213</v>
      </c>
      <c r="H7" s="187">
        <f t="shared" si="3"/>
        <v>1808255.9074826213</v>
      </c>
      <c r="I7" s="187">
        <f t="shared" si="3"/>
        <v>1808255.9074826213</v>
      </c>
      <c r="J7" s="187">
        <f t="shared" si="3"/>
        <v>1808255.9074826213</v>
      </c>
      <c r="K7" s="187">
        <f t="shared" si="3"/>
        <v>1808255.9074826213</v>
      </c>
      <c r="L7" s="187">
        <f t="shared" si="3"/>
        <v>1808255.9074826213</v>
      </c>
      <c r="M7" s="187">
        <f t="shared" si="3"/>
        <v>1808255.9074826213</v>
      </c>
      <c r="N7" s="187">
        <f t="shared" si="3"/>
        <v>1808255.9074826213</v>
      </c>
      <c r="O7" s="187">
        <f t="shared" si="3"/>
        <v>656130.26944335655</v>
      </c>
      <c r="P7" s="187">
        <f t="shared" si="3"/>
        <v>656130.26944335655</v>
      </c>
      <c r="Q7" s="187">
        <f t="shared" si="3"/>
        <v>656130.26944335655</v>
      </c>
      <c r="R7" s="187">
        <f t="shared" si="3"/>
        <v>656130.26944335655</v>
      </c>
      <c r="S7" s="187">
        <f t="shared" si="3"/>
        <v>656130.26944335655</v>
      </c>
      <c r="T7" s="187">
        <f t="shared" si="3"/>
        <v>656130.26944335655</v>
      </c>
      <c r="U7" s="187">
        <f t="shared" si="3"/>
        <v>656130.26944335655</v>
      </c>
      <c r="V7" s="187">
        <f t="shared" si="3"/>
        <v>656130.26944335655</v>
      </c>
      <c r="W7" s="187">
        <f t="shared" si="3"/>
        <v>656130.26944335655</v>
      </c>
      <c r="X7" s="187">
        <f t="shared" si="3"/>
        <v>656130.26944335655</v>
      </c>
      <c r="Y7" s="187">
        <f t="shared" si="3"/>
        <v>390098.28708979971</v>
      </c>
      <c r="Z7" s="187">
        <f t="shared" si="3"/>
        <v>390098.28708979971</v>
      </c>
      <c r="AA7" s="187">
        <f t="shared" si="3"/>
        <v>390098.28708979971</v>
      </c>
      <c r="AB7" s="187">
        <f t="shared" si="3"/>
        <v>390098.28708979971</v>
      </c>
      <c r="AC7" s="187">
        <f t="shared" si="3"/>
        <v>390098.28708979971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E301"/>
  <sheetViews>
    <sheetView zoomScaleNormal="100" workbookViewId="0">
      <selection activeCell="J7" sqref="J7"/>
    </sheetView>
  </sheetViews>
  <sheetFormatPr baseColWidth="10" defaultColWidth="9.1640625" defaultRowHeight="13"/>
  <cols>
    <col min="1" max="1" width="14.5" style="192" customWidth="1"/>
    <col min="2" max="2" width="15.5" style="192" customWidth="1"/>
    <col min="3" max="3" width="14.1640625" style="192" customWidth="1"/>
    <col min="4" max="4" width="15.83203125" style="192" customWidth="1"/>
    <col min="5" max="5" width="15" style="192" customWidth="1"/>
    <col min="6" max="6" width="14.6640625" style="192" customWidth="1"/>
    <col min="7" max="7" width="13.5" style="192" customWidth="1"/>
    <col min="8" max="8" width="15.33203125" style="192" customWidth="1"/>
    <col min="9" max="9" width="15" style="192" customWidth="1"/>
    <col min="10" max="11" width="13.83203125" style="192" bestFit="1" customWidth="1"/>
    <col min="12" max="12" width="17.33203125" style="192" bestFit="1" customWidth="1"/>
    <col min="13" max="13" width="9.1640625" style="192" customWidth="1"/>
    <col min="14" max="14" width="11.6640625" style="192" customWidth="1"/>
    <col min="15" max="15" width="13.83203125" style="192" bestFit="1" customWidth="1"/>
    <col min="16" max="16" width="13.83203125" style="193" bestFit="1" customWidth="1"/>
    <col min="17" max="17" width="11.6640625" style="192" bestFit="1" customWidth="1"/>
    <col min="18" max="18" width="13.83203125" style="192" bestFit="1" customWidth="1"/>
    <col min="19" max="19" width="15.33203125" style="192" bestFit="1" customWidth="1"/>
    <col min="20" max="20" width="11.6640625" style="192" bestFit="1" customWidth="1"/>
    <col min="21" max="22" width="9.1640625" style="192"/>
    <col min="23" max="23" width="11.6640625" style="192" bestFit="1" customWidth="1"/>
    <col min="24" max="25" width="9.1640625" style="192"/>
    <col min="26" max="26" width="11.5" style="192" bestFit="1" customWidth="1"/>
    <col min="27" max="27" width="12.33203125" style="192" bestFit="1" customWidth="1"/>
    <col min="28" max="29" width="11.5" style="192" bestFit="1" customWidth="1"/>
    <col min="30" max="16384" width="9.1640625" style="192"/>
  </cols>
  <sheetData>
    <row r="1" spans="1:17" ht="23.5" customHeight="1" thickBot="1">
      <c r="A1" s="510">
        <v>7</v>
      </c>
      <c r="B1" s="510"/>
      <c r="C1" s="510"/>
      <c r="D1" s="510"/>
      <c r="E1" s="510"/>
      <c r="F1" s="510"/>
    </row>
    <row r="2" spans="1:17" ht="27" customHeight="1">
      <c r="A2" s="512" t="s">
        <v>491</v>
      </c>
      <c r="B2" s="513"/>
      <c r="C2" s="513"/>
      <c r="D2" s="227" t="s">
        <v>490</v>
      </c>
      <c r="E2" s="227" t="s">
        <v>489</v>
      </c>
      <c r="F2" s="227" t="s">
        <v>488</v>
      </c>
      <c r="G2" s="226" t="s">
        <v>487</v>
      </c>
    </row>
    <row r="3" spans="1:17" ht="26.25" customHeight="1">
      <c r="A3" s="514" t="s">
        <v>486</v>
      </c>
      <c r="B3" s="225" t="s">
        <v>483</v>
      </c>
      <c r="C3" s="224">
        <v>0</v>
      </c>
      <c r="D3" s="205">
        <v>24</v>
      </c>
      <c r="E3" s="216">
        <f>C7*C3</f>
        <v>0</v>
      </c>
      <c r="F3" s="205">
        <v>120</v>
      </c>
      <c r="G3" s="217">
        <v>5.8999999999999997E-2</v>
      </c>
    </row>
    <row r="4" spans="1:17" ht="21.5" customHeight="1" thickBot="1">
      <c r="A4" s="515"/>
      <c r="B4" s="223" t="s">
        <v>482</v>
      </c>
      <c r="C4" s="222">
        <f>(100%-C3)</f>
        <v>1</v>
      </c>
      <c r="D4" s="221">
        <v>12</v>
      </c>
      <c r="E4" s="216">
        <f>C7*C4</f>
        <v>25120949.728862964</v>
      </c>
      <c r="F4" s="205">
        <v>120</v>
      </c>
      <c r="G4" s="217">
        <v>1E-8</v>
      </c>
      <c r="P4" s="193">
        <v>400000</v>
      </c>
    </row>
    <row r="5" spans="1:17" ht="21.5" customHeight="1">
      <c r="A5" s="220"/>
      <c r="B5" s="220"/>
      <c r="C5" s="219"/>
      <c r="D5" s="218"/>
      <c r="E5" s="218"/>
      <c r="F5" s="218"/>
      <c r="G5" s="217">
        <f>G4/12</f>
        <v>8.3333333333333335E-10</v>
      </c>
      <c r="O5" s="194">
        <f t="shared" ref="O5:O36" si="0">P4*1.2/100+P4</f>
        <v>404800</v>
      </c>
      <c r="P5" s="193">
        <f t="shared" ref="P5:P36" si="1">O5</f>
        <v>404800</v>
      </c>
      <c r="Q5" s="192">
        <v>1</v>
      </c>
    </row>
    <row r="6" spans="1:17" ht="21.5" customHeight="1">
      <c r="A6" s="511" t="s">
        <v>485</v>
      </c>
      <c r="B6" s="511"/>
      <c r="C6" s="511"/>
      <c r="D6" s="511"/>
      <c r="E6" s="511"/>
      <c r="F6" s="511"/>
      <c r="O6" s="194">
        <f t="shared" si="0"/>
        <v>409657.59999999998</v>
      </c>
      <c r="P6" s="193">
        <f t="shared" si="1"/>
        <v>409657.59999999998</v>
      </c>
      <c r="Q6" s="192">
        <v>2</v>
      </c>
    </row>
    <row r="7" spans="1:17" ht="21.5" customHeight="1">
      <c r="A7" s="506" t="s">
        <v>541</v>
      </c>
      <c r="B7" s="506"/>
      <c r="C7" s="216">
        <f>'Invest. em Pre e Implantação'!F134-'Capital de Giro'!D46</f>
        <v>25120949.728862964</v>
      </c>
      <c r="D7" s="215"/>
      <c r="E7" s="214"/>
      <c r="F7" s="213"/>
      <c r="G7" s="209"/>
      <c r="O7" s="194">
        <f t="shared" si="0"/>
        <v>414573.49119999999</v>
      </c>
      <c r="P7" s="193">
        <f t="shared" si="1"/>
        <v>414573.49119999999</v>
      </c>
      <c r="Q7" s="192">
        <v>3</v>
      </c>
    </row>
    <row r="8" spans="1:17" ht="18.75" customHeight="1">
      <c r="A8" s="212"/>
      <c r="B8" s="211"/>
      <c r="C8" s="210"/>
      <c r="G8" s="209"/>
      <c r="H8" s="209"/>
      <c r="O8" s="194">
        <f t="shared" si="0"/>
        <v>419548.37309439998</v>
      </c>
      <c r="P8" s="193">
        <f t="shared" si="1"/>
        <v>419548.37309439998</v>
      </c>
      <c r="Q8" s="192">
        <v>4</v>
      </c>
    </row>
    <row r="9" spans="1:17">
      <c r="A9" s="506" t="s">
        <v>484</v>
      </c>
      <c r="B9" s="507" t="s">
        <v>483</v>
      </c>
      <c r="C9" s="508"/>
      <c r="D9" s="508"/>
      <c r="E9" s="509"/>
      <c r="F9" s="505" t="s">
        <v>482</v>
      </c>
      <c r="G9" s="505"/>
      <c r="H9" s="505"/>
      <c r="I9" s="505"/>
      <c r="J9" s="208"/>
      <c r="O9" s="194">
        <f t="shared" si="0"/>
        <v>424582.95357153279</v>
      </c>
      <c r="P9" s="193">
        <f t="shared" si="1"/>
        <v>424582.95357153279</v>
      </c>
      <c r="Q9" s="192">
        <v>5</v>
      </c>
    </row>
    <row r="10" spans="1:17" ht="24" customHeight="1">
      <c r="A10" s="506"/>
      <c r="B10" s="207" t="s">
        <v>481</v>
      </c>
      <c r="C10" s="206" t="s">
        <v>480</v>
      </c>
      <c r="D10" s="205" t="s">
        <v>479</v>
      </c>
      <c r="E10" s="205" t="s">
        <v>478</v>
      </c>
      <c r="F10" s="207" t="s">
        <v>481</v>
      </c>
      <c r="G10" s="206" t="s">
        <v>480</v>
      </c>
      <c r="H10" s="205" t="s">
        <v>479</v>
      </c>
      <c r="I10" s="205" t="s">
        <v>478</v>
      </c>
      <c r="J10" s="204" t="s">
        <v>477</v>
      </c>
      <c r="K10" s="204" t="s">
        <v>476</v>
      </c>
      <c r="L10" s="204" t="s">
        <v>475</v>
      </c>
      <c r="O10" s="194">
        <f t="shared" si="0"/>
        <v>429677.94901439117</v>
      </c>
      <c r="P10" s="193">
        <f t="shared" si="1"/>
        <v>429677.94901439117</v>
      </c>
      <c r="Q10" s="192">
        <v>6</v>
      </c>
    </row>
    <row r="11" spans="1:17">
      <c r="A11" s="200">
        <v>0</v>
      </c>
      <c r="B11" s="198">
        <v>0</v>
      </c>
      <c r="C11" s="198">
        <v>0</v>
      </c>
      <c r="D11" s="198">
        <f t="shared" ref="D11:D42" si="2">B11+C11</f>
        <v>0</v>
      </c>
      <c r="E11" s="203">
        <f>E3</f>
        <v>0</v>
      </c>
      <c r="F11" s="198">
        <v>0</v>
      </c>
      <c r="G11" s="198">
        <v>0</v>
      </c>
      <c r="H11" s="198">
        <v>0</v>
      </c>
      <c r="I11" s="202">
        <f>E4</f>
        <v>25120949.728862964</v>
      </c>
      <c r="J11" s="198">
        <f t="shared" ref="J11:J42" si="3">D11+H11</f>
        <v>0</v>
      </c>
      <c r="K11" s="198">
        <f t="shared" ref="K11:K42" si="4">B11+F11</f>
        <v>0</v>
      </c>
      <c r="L11" s="198">
        <f t="shared" ref="L11:L42" si="5">C11+G11</f>
        <v>0</v>
      </c>
      <c r="O11" s="194">
        <f t="shared" si="0"/>
        <v>434834.08440256387</v>
      </c>
      <c r="P11" s="193">
        <f t="shared" si="1"/>
        <v>434834.08440256387</v>
      </c>
      <c r="Q11" s="192">
        <v>7</v>
      </c>
    </row>
    <row r="12" spans="1:17">
      <c r="A12" s="200">
        <v>1</v>
      </c>
      <c r="B12" s="198">
        <v>0</v>
      </c>
      <c r="C12" s="198">
        <v>0</v>
      </c>
      <c r="D12" s="198">
        <f t="shared" si="2"/>
        <v>0</v>
      </c>
      <c r="E12" s="198">
        <f t="shared" ref="E12:E43" si="6">E11-C12</f>
        <v>0</v>
      </c>
      <c r="F12" s="198">
        <v>0</v>
      </c>
      <c r="G12" s="198"/>
      <c r="H12" s="198">
        <f t="shared" ref="H12:H43" si="7">F12+G12</f>
        <v>0</v>
      </c>
      <c r="I12" s="198">
        <f t="shared" ref="I12:I22" si="8">I11-G12</f>
        <v>25120949.728862964</v>
      </c>
      <c r="J12" s="198">
        <f t="shared" si="3"/>
        <v>0</v>
      </c>
      <c r="K12" s="198">
        <f t="shared" si="4"/>
        <v>0</v>
      </c>
      <c r="L12" s="198">
        <f t="shared" si="5"/>
        <v>0</v>
      </c>
      <c r="O12" s="194">
        <f t="shared" si="0"/>
        <v>440052.09341539466</v>
      </c>
      <c r="P12" s="193">
        <f t="shared" si="1"/>
        <v>440052.09341539466</v>
      </c>
      <c r="Q12" s="192">
        <v>8</v>
      </c>
    </row>
    <row r="13" spans="1:17">
      <c r="A13" s="200">
        <v>2</v>
      </c>
      <c r="B13" s="198">
        <v>0</v>
      </c>
      <c r="C13" s="198">
        <v>0</v>
      </c>
      <c r="D13" s="198">
        <f t="shared" si="2"/>
        <v>0</v>
      </c>
      <c r="E13" s="198">
        <f t="shared" si="6"/>
        <v>0</v>
      </c>
      <c r="F13" s="198">
        <v>0</v>
      </c>
      <c r="G13" s="198"/>
      <c r="H13" s="198">
        <f t="shared" si="7"/>
        <v>0</v>
      </c>
      <c r="I13" s="198">
        <f t="shared" si="8"/>
        <v>25120949.728862964</v>
      </c>
      <c r="J13" s="198">
        <f t="shared" si="3"/>
        <v>0</v>
      </c>
      <c r="K13" s="198">
        <f t="shared" si="4"/>
        <v>0</v>
      </c>
      <c r="L13" s="198">
        <f t="shared" si="5"/>
        <v>0</v>
      </c>
      <c r="O13" s="194">
        <f t="shared" si="0"/>
        <v>445332.7185363794</v>
      </c>
      <c r="P13" s="193">
        <f t="shared" si="1"/>
        <v>445332.7185363794</v>
      </c>
      <c r="Q13" s="192">
        <v>9</v>
      </c>
    </row>
    <row r="14" spans="1:17">
      <c r="A14" s="200">
        <v>3</v>
      </c>
      <c r="B14" s="198">
        <f>$E$11*$G$3*(3/12)</f>
        <v>0</v>
      </c>
      <c r="C14" s="198">
        <v>0</v>
      </c>
      <c r="D14" s="198">
        <f t="shared" si="2"/>
        <v>0</v>
      </c>
      <c r="E14" s="198">
        <f t="shared" si="6"/>
        <v>0</v>
      </c>
      <c r="F14" s="198">
        <v>0</v>
      </c>
      <c r="G14" s="198"/>
      <c r="H14" s="198">
        <f t="shared" si="7"/>
        <v>0</v>
      </c>
      <c r="I14" s="198">
        <f t="shared" si="8"/>
        <v>25120949.728862964</v>
      </c>
      <c r="J14" s="198">
        <f t="shared" si="3"/>
        <v>0</v>
      </c>
      <c r="K14" s="198">
        <f t="shared" si="4"/>
        <v>0</v>
      </c>
      <c r="L14" s="198">
        <f t="shared" si="5"/>
        <v>0</v>
      </c>
      <c r="O14" s="194">
        <f t="shared" si="0"/>
        <v>450676.71115881595</v>
      </c>
      <c r="P14" s="193">
        <f t="shared" si="1"/>
        <v>450676.71115881595</v>
      </c>
      <c r="Q14" s="192">
        <v>10</v>
      </c>
    </row>
    <row r="15" spans="1:17">
      <c r="A15" s="200">
        <v>4</v>
      </c>
      <c r="B15" s="198">
        <v>0</v>
      </c>
      <c r="C15" s="198">
        <v>0</v>
      </c>
      <c r="D15" s="198">
        <f t="shared" si="2"/>
        <v>0</v>
      </c>
      <c r="E15" s="198">
        <f t="shared" si="6"/>
        <v>0</v>
      </c>
      <c r="F15" s="198">
        <v>0</v>
      </c>
      <c r="G15" s="198"/>
      <c r="H15" s="198">
        <f t="shared" si="7"/>
        <v>0</v>
      </c>
      <c r="I15" s="198">
        <f t="shared" si="8"/>
        <v>25120949.728862964</v>
      </c>
      <c r="J15" s="198">
        <f t="shared" si="3"/>
        <v>0</v>
      </c>
      <c r="K15" s="198">
        <f t="shared" si="4"/>
        <v>0</v>
      </c>
      <c r="L15" s="198">
        <f t="shared" si="5"/>
        <v>0</v>
      </c>
      <c r="O15" s="194">
        <f t="shared" si="0"/>
        <v>456084.83169272175</v>
      </c>
      <c r="P15" s="193">
        <f t="shared" si="1"/>
        <v>456084.83169272175</v>
      </c>
      <c r="Q15" s="192">
        <v>11</v>
      </c>
    </row>
    <row r="16" spans="1:17">
      <c r="A16" s="200">
        <v>5</v>
      </c>
      <c r="B16" s="198">
        <v>0</v>
      </c>
      <c r="C16" s="198">
        <v>0</v>
      </c>
      <c r="D16" s="198">
        <f t="shared" si="2"/>
        <v>0</v>
      </c>
      <c r="E16" s="198">
        <f t="shared" si="6"/>
        <v>0</v>
      </c>
      <c r="F16" s="198">
        <v>0</v>
      </c>
      <c r="G16" s="198"/>
      <c r="H16" s="198">
        <f t="shared" si="7"/>
        <v>0</v>
      </c>
      <c r="I16" s="198">
        <f t="shared" si="8"/>
        <v>25120949.728862964</v>
      </c>
      <c r="J16" s="198">
        <f t="shared" si="3"/>
        <v>0</v>
      </c>
      <c r="K16" s="198">
        <f t="shared" si="4"/>
        <v>0</v>
      </c>
      <c r="L16" s="198">
        <f t="shared" si="5"/>
        <v>0</v>
      </c>
      <c r="O16" s="194">
        <f t="shared" si="0"/>
        <v>461557.84967303439</v>
      </c>
      <c r="P16" s="193">
        <f t="shared" si="1"/>
        <v>461557.84967303439</v>
      </c>
      <c r="Q16" s="192">
        <v>12</v>
      </c>
    </row>
    <row r="17" spans="1:19">
      <c r="A17" s="200">
        <v>6</v>
      </c>
      <c r="B17" s="198">
        <f>$E$11*$G$3*(3/12)</f>
        <v>0</v>
      </c>
      <c r="C17" s="198">
        <v>0</v>
      </c>
      <c r="D17" s="198">
        <f t="shared" si="2"/>
        <v>0</v>
      </c>
      <c r="E17" s="198">
        <f t="shared" si="6"/>
        <v>0</v>
      </c>
      <c r="F17" s="198">
        <v>0</v>
      </c>
      <c r="G17" s="198"/>
      <c r="H17" s="198">
        <f t="shared" si="7"/>
        <v>0</v>
      </c>
      <c r="I17" s="198">
        <f t="shared" si="8"/>
        <v>25120949.728862964</v>
      </c>
      <c r="J17" s="198">
        <f t="shared" si="3"/>
        <v>0</v>
      </c>
      <c r="K17" s="198">
        <f t="shared" si="4"/>
        <v>0</v>
      </c>
      <c r="L17" s="198">
        <f t="shared" si="5"/>
        <v>0</v>
      </c>
      <c r="O17" s="194">
        <f t="shared" si="0"/>
        <v>467096.54386911081</v>
      </c>
      <c r="P17" s="193">
        <f t="shared" si="1"/>
        <v>467096.54386911081</v>
      </c>
      <c r="Q17" s="192">
        <v>13</v>
      </c>
    </row>
    <row r="18" spans="1:19">
      <c r="A18" s="200">
        <v>7</v>
      </c>
      <c r="B18" s="198">
        <v>0</v>
      </c>
      <c r="C18" s="198">
        <v>0</v>
      </c>
      <c r="D18" s="198">
        <f t="shared" si="2"/>
        <v>0</v>
      </c>
      <c r="E18" s="198">
        <f t="shared" si="6"/>
        <v>0</v>
      </c>
      <c r="F18" s="198">
        <v>0</v>
      </c>
      <c r="G18" s="198"/>
      <c r="H18" s="198">
        <f t="shared" si="7"/>
        <v>0</v>
      </c>
      <c r="I18" s="198">
        <f t="shared" si="8"/>
        <v>25120949.728862964</v>
      </c>
      <c r="J18" s="198">
        <f t="shared" si="3"/>
        <v>0</v>
      </c>
      <c r="K18" s="198">
        <f t="shared" si="4"/>
        <v>0</v>
      </c>
      <c r="L18" s="198">
        <f t="shared" si="5"/>
        <v>0</v>
      </c>
      <c r="O18" s="194">
        <f t="shared" si="0"/>
        <v>472701.70239554014</v>
      </c>
      <c r="P18" s="193">
        <f t="shared" si="1"/>
        <v>472701.70239554014</v>
      </c>
      <c r="Q18" s="192">
        <v>14</v>
      </c>
    </row>
    <row r="19" spans="1:19">
      <c r="A19" s="200">
        <v>8</v>
      </c>
      <c r="B19" s="198">
        <v>0</v>
      </c>
      <c r="C19" s="198">
        <v>0</v>
      </c>
      <c r="D19" s="198">
        <f t="shared" si="2"/>
        <v>0</v>
      </c>
      <c r="E19" s="198">
        <f t="shared" si="6"/>
        <v>0</v>
      </c>
      <c r="F19" s="198">
        <v>0</v>
      </c>
      <c r="G19" s="198"/>
      <c r="H19" s="198">
        <f t="shared" si="7"/>
        <v>0</v>
      </c>
      <c r="I19" s="198">
        <f t="shared" si="8"/>
        <v>25120949.728862964</v>
      </c>
      <c r="J19" s="198">
        <f t="shared" si="3"/>
        <v>0</v>
      </c>
      <c r="K19" s="198">
        <f t="shared" si="4"/>
        <v>0</v>
      </c>
      <c r="L19" s="198">
        <f t="shared" si="5"/>
        <v>0</v>
      </c>
      <c r="O19" s="194">
        <f t="shared" si="0"/>
        <v>478374.12282428663</v>
      </c>
      <c r="P19" s="193">
        <f t="shared" si="1"/>
        <v>478374.12282428663</v>
      </c>
      <c r="Q19" s="192">
        <v>15</v>
      </c>
    </row>
    <row r="20" spans="1:19">
      <c r="A20" s="200">
        <v>9</v>
      </c>
      <c r="B20" s="198">
        <f>$E$11*$G$3*(3/12)</f>
        <v>0</v>
      </c>
      <c r="C20" s="198">
        <v>0</v>
      </c>
      <c r="D20" s="198">
        <f t="shared" si="2"/>
        <v>0</v>
      </c>
      <c r="E20" s="198">
        <f t="shared" si="6"/>
        <v>0</v>
      </c>
      <c r="F20" s="198">
        <v>0</v>
      </c>
      <c r="G20" s="198"/>
      <c r="H20" s="198">
        <f t="shared" si="7"/>
        <v>0</v>
      </c>
      <c r="I20" s="198">
        <f t="shared" si="8"/>
        <v>25120949.728862964</v>
      </c>
      <c r="J20" s="198">
        <f t="shared" si="3"/>
        <v>0</v>
      </c>
      <c r="K20" s="198">
        <f t="shared" si="4"/>
        <v>0</v>
      </c>
      <c r="L20" s="198">
        <f t="shared" si="5"/>
        <v>0</v>
      </c>
      <c r="O20" s="194">
        <f t="shared" si="0"/>
        <v>484114.61229817808</v>
      </c>
      <c r="P20" s="193">
        <f t="shared" si="1"/>
        <v>484114.61229817808</v>
      </c>
      <c r="Q20" s="192">
        <v>16</v>
      </c>
    </row>
    <row r="21" spans="1:19">
      <c r="A21" s="200">
        <v>10</v>
      </c>
      <c r="B21" s="198">
        <v>0</v>
      </c>
      <c r="C21" s="198">
        <v>0</v>
      </c>
      <c r="D21" s="198">
        <f t="shared" si="2"/>
        <v>0</v>
      </c>
      <c r="E21" s="198">
        <f t="shared" si="6"/>
        <v>0</v>
      </c>
      <c r="F21" s="198">
        <v>0</v>
      </c>
      <c r="G21" s="198"/>
      <c r="H21" s="198">
        <f t="shared" si="7"/>
        <v>0</v>
      </c>
      <c r="I21" s="198">
        <f t="shared" si="8"/>
        <v>25120949.728862964</v>
      </c>
      <c r="J21" s="198">
        <f t="shared" si="3"/>
        <v>0</v>
      </c>
      <c r="K21" s="198">
        <f t="shared" si="4"/>
        <v>0</v>
      </c>
      <c r="L21" s="198">
        <f t="shared" si="5"/>
        <v>0</v>
      </c>
      <c r="O21" s="194">
        <f t="shared" si="0"/>
        <v>489923.98764575622</v>
      </c>
      <c r="P21" s="193">
        <f t="shared" si="1"/>
        <v>489923.98764575622</v>
      </c>
      <c r="Q21" s="192">
        <v>17</v>
      </c>
    </row>
    <row r="22" spans="1:19">
      <c r="A22" s="200">
        <v>11</v>
      </c>
      <c r="B22" s="198">
        <v>0</v>
      </c>
      <c r="C22" s="198">
        <v>0</v>
      </c>
      <c r="D22" s="198">
        <f t="shared" si="2"/>
        <v>0</v>
      </c>
      <c r="E22" s="198">
        <f t="shared" si="6"/>
        <v>0</v>
      </c>
      <c r="F22" s="198">
        <v>0</v>
      </c>
      <c r="G22" s="198"/>
      <c r="H22" s="198">
        <f t="shared" si="7"/>
        <v>0</v>
      </c>
      <c r="I22" s="198">
        <f t="shared" si="8"/>
        <v>25120949.728862964</v>
      </c>
      <c r="J22" s="198">
        <f t="shared" si="3"/>
        <v>0</v>
      </c>
      <c r="K22" s="198">
        <f t="shared" si="4"/>
        <v>0</v>
      </c>
      <c r="L22" s="198">
        <f t="shared" si="5"/>
        <v>0</v>
      </c>
      <c r="O22" s="194">
        <f t="shared" si="0"/>
        <v>495803.07549750531</v>
      </c>
      <c r="P22" s="193">
        <f t="shared" si="1"/>
        <v>495803.07549750531</v>
      </c>
      <c r="Q22" s="192">
        <v>18</v>
      </c>
    </row>
    <row r="23" spans="1:19">
      <c r="A23" s="200">
        <v>12</v>
      </c>
      <c r="B23" s="198">
        <f>$E$11*$G$3*(3/12)</f>
        <v>0</v>
      </c>
      <c r="C23" s="198">
        <v>0</v>
      </c>
      <c r="D23" s="198">
        <f t="shared" si="2"/>
        <v>0</v>
      </c>
      <c r="E23" s="198">
        <f t="shared" si="6"/>
        <v>0</v>
      </c>
      <c r="F23" s="198">
        <v>0</v>
      </c>
      <c r="G23" s="198"/>
      <c r="H23" s="198">
        <f t="shared" si="7"/>
        <v>0</v>
      </c>
      <c r="I23" s="201">
        <f>(I22-G23)*(1+G4)</f>
        <v>25120949.980072461</v>
      </c>
      <c r="J23" s="198">
        <f t="shared" si="3"/>
        <v>0</v>
      </c>
      <c r="K23" s="198">
        <f t="shared" si="4"/>
        <v>0</v>
      </c>
      <c r="L23" s="198">
        <f t="shared" si="5"/>
        <v>0</v>
      </c>
      <c r="O23" s="194">
        <f t="shared" si="0"/>
        <v>501752.71240347537</v>
      </c>
      <c r="P23" s="193">
        <f t="shared" si="1"/>
        <v>501752.71240347537</v>
      </c>
      <c r="Q23" s="192">
        <v>19</v>
      </c>
    </row>
    <row r="24" spans="1:19">
      <c r="A24" s="200">
        <v>13</v>
      </c>
      <c r="B24" s="198">
        <v>0</v>
      </c>
      <c r="C24" s="198">
        <v>0</v>
      </c>
      <c r="D24" s="198">
        <f t="shared" si="2"/>
        <v>0</v>
      </c>
      <c r="E24" s="198">
        <f t="shared" si="6"/>
        <v>0</v>
      </c>
      <c r="F24" s="198"/>
      <c r="G24" s="198"/>
      <c r="H24" s="198">
        <f t="shared" si="7"/>
        <v>0</v>
      </c>
      <c r="I24" s="198">
        <f t="shared" ref="I24:I55" si="9">I23-G24</f>
        <v>25120949.980072461</v>
      </c>
      <c r="J24" s="198">
        <f t="shared" si="3"/>
        <v>0</v>
      </c>
      <c r="K24" s="198">
        <f t="shared" si="4"/>
        <v>0</v>
      </c>
      <c r="L24" s="198">
        <f t="shared" si="5"/>
        <v>0</v>
      </c>
      <c r="O24" s="194">
        <f t="shared" si="0"/>
        <v>507773.74495231709</v>
      </c>
      <c r="P24" s="193">
        <f t="shared" si="1"/>
        <v>507773.74495231709</v>
      </c>
      <c r="Q24" s="192">
        <v>20</v>
      </c>
    </row>
    <row r="25" spans="1:19">
      <c r="A25" s="200">
        <v>14</v>
      </c>
      <c r="B25" s="198">
        <v>0</v>
      </c>
      <c r="C25" s="198">
        <v>0</v>
      </c>
      <c r="D25" s="198">
        <f t="shared" si="2"/>
        <v>0</v>
      </c>
      <c r="E25" s="198">
        <f t="shared" si="6"/>
        <v>0</v>
      </c>
      <c r="F25" s="198"/>
      <c r="G25" s="198"/>
      <c r="H25" s="198">
        <f t="shared" si="7"/>
        <v>0</v>
      </c>
      <c r="I25" s="198">
        <f t="shared" si="9"/>
        <v>25120949.980072461</v>
      </c>
      <c r="J25" s="198">
        <f t="shared" si="3"/>
        <v>0</v>
      </c>
      <c r="K25" s="198">
        <f t="shared" si="4"/>
        <v>0</v>
      </c>
      <c r="L25" s="198">
        <f t="shared" si="5"/>
        <v>0</v>
      </c>
      <c r="O25" s="194">
        <f t="shared" si="0"/>
        <v>513867.0298917449</v>
      </c>
      <c r="P25" s="193">
        <f t="shared" si="1"/>
        <v>513867.0298917449</v>
      </c>
      <c r="Q25" s="192">
        <v>21</v>
      </c>
    </row>
    <row r="26" spans="1:19">
      <c r="A26" s="200">
        <v>15</v>
      </c>
      <c r="B26" s="198">
        <f>$E$11*$G$3*(3/12)</f>
        <v>0</v>
      </c>
      <c r="C26" s="198">
        <v>0</v>
      </c>
      <c r="D26" s="198">
        <f t="shared" si="2"/>
        <v>0</v>
      </c>
      <c r="E26" s="198">
        <f t="shared" si="6"/>
        <v>0</v>
      </c>
      <c r="F26" s="198"/>
      <c r="G26" s="198"/>
      <c r="H26" s="198">
        <f t="shared" si="7"/>
        <v>0</v>
      </c>
      <c r="I26" s="198">
        <f t="shared" si="9"/>
        <v>25120949.980072461</v>
      </c>
      <c r="J26" s="198">
        <f t="shared" si="3"/>
        <v>0</v>
      </c>
      <c r="K26" s="198">
        <f t="shared" si="4"/>
        <v>0</v>
      </c>
      <c r="L26" s="198">
        <f t="shared" si="5"/>
        <v>0</v>
      </c>
      <c r="O26" s="194">
        <f t="shared" si="0"/>
        <v>520033.43425044586</v>
      </c>
      <c r="P26" s="193">
        <f t="shared" si="1"/>
        <v>520033.43425044586</v>
      </c>
      <c r="Q26" s="192">
        <v>22</v>
      </c>
    </row>
    <row r="27" spans="1:19">
      <c r="A27" s="200">
        <v>16</v>
      </c>
      <c r="B27" s="198">
        <v>0</v>
      </c>
      <c r="C27" s="198">
        <v>0</v>
      </c>
      <c r="D27" s="198">
        <f t="shared" si="2"/>
        <v>0</v>
      </c>
      <c r="E27" s="198">
        <f t="shared" si="6"/>
        <v>0</v>
      </c>
      <c r="F27" s="198"/>
      <c r="G27" s="198"/>
      <c r="H27" s="198">
        <f t="shared" si="7"/>
        <v>0</v>
      </c>
      <c r="I27" s="198">
        <f t="shared" si="9"/>
        <v>25120949.980072461</v>
      </c>
      <c r="J27" s="198">
        <f t="shared" si="3"/>
        <v>0</v>
      </c>
      <c r="K27" s="198">
        <f t="shared" si="4"/>
        <v>0</v>
      </c>
      <c r="L27" s="198">
        <f t="shared" si="5"/>
        <v>0</v>
      </c>
      <c r="O27" s="194">
        <f t="shared" si="0"/>
        <v>526273.83546145121</v>
      </c>
      <c r="P27" s="193">
        <f t="shared" si="1"/>
        <v>526273.83546145121</v>
      </c>
      <c r="Q27" s="192">
        <v>23</v>
      </c>
    </row>
    <row r="28" spans="1:19">
      <c r="A28" s="200">
        <v>17</v>
      </c>
      <c r="B28" s="198">
        <v>0</v>
      </c>
      <c r="C28" s="198">
        <v>0</v>
      </c>
      <c r="D28" s="198">
        <f t="shared" si="2"/>
        <v>0</v>
      </c>
      <c r="E28" s="198">
        <f t="shared" si="6"/>
        <v>0</v>
      </c>
      <c r="F28" s="198"/>
      <c r="G28" s="198"/>
      <c r="H28" s="198">
        <f t="shared" si="7"/>
        <v>0</v>
      </c>
      <c r="I28" s="198">
        <f t="shared" si="9"/>
        <v>25120949.980072461</v>
      </c>
      <c r="J28" s="198">
        <f t="shared" si="3"/>
        <v>0</v>
      </c>
      <c r="K28" s="198">
        <f t="shared" si="4"/>
        <v>0</v>
      </c>
      <c r="L28" s="198">
        <f t="shared" si="5"/>
        <v>0</v>
      </c>
      <c r="O28" s="194">
        <f t="shared" si="0"/>
        <v>532589.12148698862</v>
      </c>
      <c r="P28" s="193">
        <f t="shared" si="1"/>
        <v>532589.12148698862</v>
      </c>
      <c r="Q28" s="192">
        <v>24</v>
      </c>
    </row>
    <row r="29" spans="1:19">
      <c r="A29" s="200">
        <v>18</v>
      </c>
      <c r="B29" s="198">
        <f>$E$11*$G$3*(3/12)</f>
        <v>0</v>
      </c>
      <c r="C29" s="198">
        <v>0</v>
      </c>
      <c r="D29" s="198">
        <f t="shared" si="2"/>
        <v>0</v>
      </c>
      <c r="E29" s="198">
        <f t="shared" si="6"/>
        <v>0</v>
      </c>
      <c r="F29" s="198"/>
      <c r="G29" s="198"/>
      <c r="H29" s="198">
        <f t="shared" si="7"/>
        <v>0</v>
      </c>
      <c r="I29" s="198">
        <f t="shared" si="9"/>
        <v>25120949.980072461</v>
      </c>
      <c r="J29" s="198">
        <f t="shared" si="3"/>
        <v>0</v>
      </c>
      <c r="K29" s="198">
        <f t="shared" si="4"/>
        <v>0</v>
      </c>
      <c r="L29" s="198">
        <f t="shared" si="5"/>
        <v>0</v>
      </c>
      <c r="O29" s="194">
        <f t="shared" si="0"/>
        <v>538980.19094483252</v>
      </c>
      <c r="P29" s="193">
        <f t="shared" si="1"/>
        <v>538980.19094483252</v>
      </c>
      <c r="Q29" s="192">
        <v>25</v>
      </c>
    </row>
    <row r="30" spans="1:19">
      <c r="A30" s="200">
        <v>19</v>
      </c>
      <c r="B30" s="198">
        <v>0</v>
      </c>
      <c r="C30" s="198">
        <v>0</v>
      </c>
      <c r="D30" s="198">
        <f t="shared" si="2"/>
        <v>0</v>
      </c>
      <c r="E30" s="198">
        <f t="shared" si="6"/>
        <v>0</v>
      </c>
      <c r="F30" s="198"/>
      <c r="G30" s="198"/>
      <c r="H30" s="198">
        <f t="shared" si="7"/>
        <v>0</v>
      </c>
      <c r="I30" s="198">
        <f t="shared" si="9"/>
        <v>25120949.980072461</v>
      </c>
      <c r="J30" s="198">
        <f t="shared" si="3"/>
        <v>0</v>
      </c>
      <c r="K30" s="198">
        <f t="shared" si="4"/>
        <v>0</v>
      </c>
      <c r="L30" s="198">
        <f t="shared" si="5"/>
        <v>0</v>
      </c>
      <c r="O30" s="194">
        <f t="shared" si="0"/>
        <v>545447.95323617046</v>
      </c>
      <c r="P30" s="193">
        <f t="shared" si="1"/>
        <v>545447.95323617046</v>
      </c>
      <c r="Q30" s="192">
        <v>26</v>
      </c>
    </row>
    <row r="31" spans="1:19">
      <c r="A31" s="200">
        <v>20</v>
      </c>
      <c r="B31" s="198">
        <v>0</v>
      </c>
      <c r="C31" s="198">
        <v>0</v>
      </c>
      <c r="D31" s="198">
        <f t="shared" si="2"/>
        <v>0</v>
      </c>
      <c r="E31" s="198">
        <f t="shared" si="6"/>
        <v>0</v>
      </c>
      <c r="F31" s="198"/>
      <c r="G31" s="198"/>
      <c r="H31" s="198">
        <f t="shared" si="7"/>
        <v>0</v>
      </c>
      <c r="I31" s="198">
        <f t="shared" si="9"/>
        <v>25120949.980072461</v>
      </c>
      <c r="J31" s="198">
        <f t="shared" si="3"/>
        <v>0</v>
      </c>
      <c r="K31" s="198">
        <f t="shared" si="4"/>
        <v>0</v>
      </c>
      <c r="L31" s="198">
        <f t="shared" si="5"/>
        <v>0</v>
      </c>
      <c r="O31" s="194">
        <f t="shared" si="0"/>
        <v>551993.32867500454</v>
      </c>
      <c r="P31" s="193">
        <f t="shared" si="1"/>
        <v>551993.32867500454</v>
      </c>
      <c r="Q31" s="192">
        <v>27</v>
      </c>
    </row>
    <row r="32" spans="1:19">
      <c r="A32" s="200">
        <v>21</v>
      </c>
      <c r="B32" s="198">
        <f>$E$11*$G$3*(3/12)</f>
        <v>0</v>
      </c>
      <c r="C32" s="198">
        <v>0</v>
      </c>
      <c r="D32" s="198">
        <f t="shared" si="2"/>
        <v>0</v>
      </c>
      <c r="E32" s="198">
        <f t="shared" si="6"/>
        <v>0</v>
      </c>
      <c r="F32" s="198"/>
      <c r="G32" s="198"/>
      <c r="H32" s="198">
        <f t="shared" si="7"/>
        <v>0</v>
      </c>
      <c r="I32" s="198">
        <f t="shared" si="9"/>
        <v>25120949.980072461</v>
      </c>
      <c r="J32" s="198">
        <f t="shared" si="3"/>
        <v>0</v>
      </c>
      <c r="K32" s="198">
        <f t="shared" si="4"/>
        <v>0</v>
      </c>
      <c r="L32" s="198">
        <f t="shared" si="5"/>
        <v>0</v>
      </c>
      <c r="O32" s="194">
        <f t="shared" si="0"/>
        <v>558617.24861910462</v>
      </c>
      <c r="P32" s="193">
        <f t="shared" si="1"/>
        <v>558617.24861910462</v>
      </c>
      <c r="Q32" s="192">
        <v>28</v>
      </c>
      <c r="S32" s="193"/>
    </row>
    <row r="33" spans="1:19">
      <c r="A33" s="200">
        <v>22</v>
      </c>
      <c r="B33" s="198">
        <v>0</v>
      </c>
      <c r="C33" s="198">
        <v>0</v>
      </c>
      <c r="D33" s="198">
        <f t="shared" si="2"/>
        <v>0</v>
      </c>
      <c r="E33" s="198">
        <f t="shared" si="6"/>
        <v>0</v>
      </c>
      <c r="F33" s="198"/>
      <c r="G33" s="198"/>
      <c r="H33" s="198">
        <f t="shared" si="7"/>
        <v>0</v>
      </c>
      <c r="I33" s="198">
        <f t="shared" si="9"/>
        <v>25120949.980072461</v>
      </c>
      <c r="J33" s="198">
        <f t="shared" si="3"/>
        <v>0</v>
      </c>
      <c r="K33" s="198">
        <f t="shared" si="4"/>
        <v>0</v>
      </c>
      <c r="L33" s="198">
        <f t="shared" si="5"/>
        <v>0</v>
      </c>
      <c r="O33" s="194">
        <f t="shared" si="0"/>
        <v>565320.65560253384</v>
      </c>
      <c r="P33" s="193">
        <f t="shared" si="1"/>
        <v>565320.65560253384</v>
      </c>
      <c r="Q33" s="192">
        <v>29</v>
      </c>
      <c r="S33" s="193"/>
    </row>
    <row r="34" spans="1:19">
      <c r="A34" s="200">
        <v>23</v>
      </c>
      <c r="B34" s="198">
        <v>0</v>
      </c>
      <c r="C34" s="198">
        <v>0</v>
      </c>
      <c r="D34" s="198">
        <f t="shared" si="2"/>
        <v>0</v>
      </c>
      <c r="E34" s="198">
        <f t="shared" si="6"/>
        <v>0</v>
      </c>
      <c r="F34" s="198"/>
      <c r="G34" s="198"/>
      <c r="H34" s="198">
        <f t="shared" si="7"/>
        <v>0</v>
      </c>
      <c r="I34" s="198">
        <f t="shared" si="9"/>
        <v>25120949.980072461</v>
      </c>
      <c r="J34" s="198">
        <f t="shared" si="3"/>
        <v>0</v>
      </c>
      <c r="K34" s="198">
        <f t="shared" si="4"/>
        <v>0</v>
      </c>
      <c r="L34" s="198">
        <f t="shared" si="5"/>
        <v>0</v>
      </c>
      <c r="O34" s="194">
        <f t="shared" si="0"/>
        <v>572104.50346976425</v>
      </c>
      <c r="P34" s="193">
        <f t="shared" si="1"/>
        <v>572104.50346976425</v>
      </c>
      <c r="Q34" s="192">
        <v>30</v>
      </c>
      <c r="S34" s="193"/>
    </row>
    <row r="35" spans="1:19">
      <c r="A35" s="200">
        <v>24</v>
      </c>
      <c r="B35" s="198">
        <f>$E$11*$G$3*(3/12)</f>
        <v>0</v>
      </c>
      <c r="C35" s="198">
        <v>0</v>
      </c>
      <c r="D35" s="198">
        <f t="shared" si="2"/>
        <v>0</v>
      </c>
      <c r="E35" s="198">
        <f t="shared" si="6"/>
        <v>0</v>
      </c>
      <c r="F35" s="198"/>
      <c r="G35" s="198"/>
      <c r="H35" s="198">
        <f t="shared" si="7"/>
        <v>0</v>
      </c>
      <c r="I35" s="198">
        <f t="shared" si="9"/>
        <v>25120949.980072461</v>
      </c>
      <c r="J35" s="198">
        <f t="shared" si="3"/>
        <v>0</v>
      </c>
      <c r="K35" s="198">
        <f t="shared" si="4"/>
        <v>0</v>
      </c>
      <c r="L35" s="198">
        <f t="shared" si="5"/>
        <v>0</v>
      </c>
      <c r="O35" s="194">
        <f t="shared" si="0"/>
        <v>578969.75751140143</v>
      </c>
      <c r="P35" s="193">
        <f t="shared" si="1"/>
        <v>578969.75751140143</v>
      </c>
      <c r="Q35" s="192">
        <v>31</v>
      </c>
      <c r="S35" s="193">
        <f>S36*1.25</f>
        <v>5000000</v>
      </c>
    </row>
    <row r="36" spans="1:19">
      <c r="A36" s="200">
        <v>25</v>
      </c>
      <c r="B36" s="198">
        <f t="shared" ref="B36:B67" si="10">E35*($G$3/12)</f>
        <v>0</v>
      </c>
      <c r="C36" s="198">
        <f t="shared" ref="C36:C67" si="11">$E$11/96</f>
        <v>0</v>
      </c>
      <c r="D36" s="198">
        <f t="shared" si="2"/>
        <v>0</v>
      </c>
      <c r="E36" s="198">
        <f t="shared" si="6"/>
        <v>0</v>
      </c>
      <c r="F36" s="198"/>
      <c r="G36" s="198"/>
      <c r="H36" s="198">
        <f t="shared" si="7"/>
        <v>0</v>
      </c>
      <c r="I36" s="198">
        <f t="shared" si="9"/>
        <v>25120949.980072461</v>
      </c>
      <c r="J36" s="198">
        <f t="shared" si="3"/>
        <v>0</v>
      </c>
      <c r="K36" s="198">
        <f t="shared" si="4"/>
        <v>0</v>
      </c>
      <c r="L36" s="198">
        <f t="shared" si="5"/>
        <v>0</v>
      </c>
      <c r="O36" s="194">
        <f t="shared" si="0"/>
        <v>585917.3946015382</v>
      </c>
      <c r="P36" s="193">
        <f t="shared" si="1"/>
        <v>585917.3946015382</v>
      </c>
      <c r="Q36" s="192">
        <v>32</v>
      </c>
      <c r="S36" s="193">
        <f>4000000</f>
        <v>4000000</v>
      </c>
    </row>
    <row r="37" spans="1:19">
      <c r="A37" s="200">
        <v>26</v>
      </c>
      <c r="B37" s="198">
        <f t="shared" si="10"/>
        <v>0</v>
      </c>
      <c r="C37" s="198">
        <f t="shared" si="11"/>
        <v>0</v>
      </c>
      <c r="D37" s="198">
        <f t="shared" si="2"/>
        <v>0</v>
      </c>
      <c r="E37" s="198">
        <f t="shared" si="6"/>
        <v>0</v>
      </c>
      <c r="F37" s="198"/>
      <c r="G37" s="198"/>
      <c r="H37" s="198">
        <f t="shared" si="7"/>
        <v>0</v>
      </c>
      <c r="I37" s="198">
        <f t="shared" si="9"/>
        <v>25120949.980072461</v>
      </c>
      <c r="J37" s="198">
        <f t="shared" si="3"/>
        <v>0</v>
      </c>
      <c r="K37" s="198">
        <f t="shared" si="4"/>
        <v>0</v>
      </c>
      <c r="L37" s="198">
        <f t="shared" si="5"/>
        <v>0</v>
      </c>
      <c r="O37" s="194">
        <f t="shared" ref="O37:O63" si="12">P36*1.2/100+P36</f>
        <v>592948.40333675663</v>
      </c>
      <c r="P37" s="193">
        <f t="shared" ref="P37:P63" si="13">O37</f>
        <v>592948.40333675663</v>
      </c>
      <c r="Q37" s="192">
        <v>33</v>
      </c>
    </row>
    <row r="38" spans="1:19">
      <c r="A38" s="200">
        <v>27</v>
      </c>
      <c r="B38" s="198">
        <f t="shared" si="10"/>
        <v>0</v>
      </c>
      <c r="C38" s="198">
        <f t="shared" si="11"/>
        <v>0</v>
      </c>
      <c r="D38" s="198">
        <f t="shared" si="2"/>
        <v>0</v>
      </c>
      <c r="E38" s="198">
        <f t="shared" si="6"/>
        <v>0</v>
      </c>
      <c r="F38" s="198"/>
      <c r="G38" s="198"/>
      <c r="H38" s="198">
        <f t="shared" si="7"/>
        <v>0</v>
      </c>
      <c r="I38" s="198">
        <f t="shared" si="9"/>
        <v>25120949.980072461</v>
      </c>
      <c r="J38" s="198">
        <f t="shared" si="3"/>
        <v>0</v>
      </c>
      <c r="K38" s="198">
        <f t="shared" si="4"/>
        <v>0</v>
      </c>
      <c r="L38" s="198">
        <f t="shared" si="5"/>
        <v>0</v>
      </c>
      <c r="O38" s="194">
        <f t="shared" si="12"/>
        <v>600063.78417679772</v>
      </c>
      <c r="P38" s="193">
        <f t="shared" si="13"/>
        <v>600063.78417679772</v>
      </c>
      <c r="Q38" s="192">
        <v>34</v>
      </c>
      <c r="S38" s="193">
        <v>250000</v>
      </c>
    </row>
    <row r="39" spans="1:19">
      <c r="A39" s="200">
        <v>28</v>
      </c>
      <c r="B39" s="198">
        <f t="shared" si="10"/>
        <v>0</v>
      </c>
      <c r="C39" s="198">
        <f t="shared" si="11"/>
        <v>0</v>
      </c>
      <c r="D39" s="198">
        <f t="shared" si="2"/>
        <v>0</v>
      </c>
      <c r="E39" s="198">
        <f t="shared" si="6"/>
        <v>0</v>
      </c>
      <c r="F39" s="198"/>
      <c r="G39" s="198"/>
      <c r="H39" s="198">
        <f t="shared" si="7"/>
        <v>0</v>
      </c>
      <c r="I39" s="198">
        <f t="shared" si="9"/>
        <v>25120949.980072461</v>
      </c>
      <c r="J39" s="198">
        <f t="shared" si="3"/>
        <v>0</v>
      </c>
      <c r="K39" s="198">
        <f t="shared" si="4"/>
        <v>0</v>
      </c>
      <c r="L39" s="198">
        <f t="shared" si="5"/>
        <v>0</v>
      </c>
      <c r="O39" s="194">
        <f t="shared" si="12"/>
        <v>607264.54958691925</v>
      </c>
      <c r="P39" s="193">
        <f t="shared" si="13"/>
        <v>607264.54958691925</v>
      </c>
      <c r="Q39" s="192">
        <v>35</v>
      </c>
      <c r="S39" s="193"/>
    </row>
    <row r="40" spans="1:19">
      <c r="A40" s="200">
        <v>29</v>
      </c>
      <c r="B40" s="198">
        <f t="shared" si="10"/>
        <v>0</v>
      </c>
      <c r="C40" s="198">
        <f t="shared" si="11"/>
        <v>0</v>
      </c>
      <c r="D40" s="198">
        <f t="shared" si="2"/>
        <v>0</v>
      </c>
      <c r="E40" s="198">
        <f t="shared" si="6"/>
        <v>0</v>
      </c>
      <c r="F40" s="198"/>
      <c r="G40" s="198"/>
      <c r="H40" s="198">
        <f t="shared" si="7"/>
        <v>0</v>
      </c>
      <c r="I40" s="198">
        <f t="shared" si="9"/>
        <v>25120949.980072461</v>
      </c>
      <c r="J40" s="198">
        <f t="shared" si="3"/>
        <v>0</v>
      </c>
      <c r="K40" s="198">
        <f t="shared" si="4"/>
        <v>0</v>
      </c>
      <c r="L40" s="198">
        <f t="shared" si="5"/>
        <v>0</v>
      </c>
      <c r="O40" s="194">
        <f t="shared" si="12"/>
        <v>614551.72418196232</v>
      </c>
      <c r="P40" s="193">
        <f t="shared" si="13"/>
        <v>614551.72418196232</v>
      </c>
      <c r="Q40" s="192">
        <v>36</v>
      </c>
      <c r="R40" s="194">
        <f>P40-P4</f>
        <v>214551.72418196232</v>
      </c>
      <c r="S40" s="193">
        <v>400000</v>
      </c>
    </row>
    <row r="41" spans="1:19">
      <c r="A41" s="200">
        <v>30</v>
      </c>
      <c r="B41" s="198">
        <f t="shared" si="10"/>
        <v>0</v>
      </c>
      <c r="C41" s="198">
        <f t="shared" si="11"/>
        <v>0</v>
      </c>
      <c r="D41" s="198">
        <f t="shared" si="2"/>
        <v>0</v>
      </c>
      <c r="E41" s="198">
        <f t="shared" si="6"/>
        <v>0</v>
      </c>
      <c r="F41" s="198"/>
      <c r="G41" s="198"/>
      <c r="H41" s="198">
        <f t="shared" si="7"/>
        <v>0</v>
      </c>
      <c r="I41" s="198">
        <f t="shared" si="9"/>
        <v>25120949.980072461</v>
      </c>
      <c r="J41" s="198">
        <f t="shared" si="3"/>
        <v>0</v>
      </c>
      <c r="K41" s="198">
        <f t="shared" si="4"/>
        <v>0</v>
      </c>
      <c r="L41" s="198">
        <f t="shared" si="5"/>
        <v>0</v>
      </c>
      <c r="O41" s="194">
        <f t="shared" si="12"/>
        <v>621926.34487214591</v>
      </c>
      <c r="P41" s="193">
        <f t="shared" si="13"/>
        <v>621926.34487214591</v>
      </c>
      <c r="S41" s="193"/>
    </row>
    <row r="42" spans="1:19">
      <c r="A42" s="200">
        <v>31</v>
      </c>
      <c r="B42" s="198">
        <f t="shared" si="10"/>
        <v>0</v>
      </c>
      <c r="C42" s="198">
        <f t="shared" si="11"/>
        <v>0</v>
      </c>
      <c r="D42" s="198">
        <f t="shared" si="2"/>
        <v>0</v>
      </c>
      <c r="E42" s="198">
        <f t="shared" si="6"/>
        <v>0</v>
      </c>
      <c r="F42" s="198"/>
      <c r="G42" s="198"/>
      <c r="H42" s="198">
        <f t="shared" si="7"/>
        <v>0</v>
      </c>
      <c r="I42" s="198">
        <f t="shared" si="9"/>
        <v>25120949.980072461</v>
      </c>
      <c r="J42" s="198">
        <f t="shared" si="3"/>
        <v>0</v>
      </c>
      <c r="K42" s="198">
        <f t="shared" si="4"/>
        <v>0</v>
      </c>
      <c r="L42" s="198">
        <f t="shared" si="5"/>
        <v>0</v>
      </c>
      <c r="O42" s="194">
        <f t="shared" si="12"/>
        <v>629389.46101061162</v>
      </c>
      <c r="P42" s="193">
        <f t="shared" si="13"/>
        <v>629389.46101061162</v>
      </c>
      <c r="S42" s="193">
        <f>S35-S40-S38</f>
        <v>4350000</v>
      </c>
    </row>
    <row r="43" spans="1:19">
      <c r="A43" s="200">
        <v>32</v>
      </c>
      <c r="B43" s="198">
        <f t="shared" si="10"/>
        <v>0</v>
      </c>
      <c r="C43" s="198">
        <f t="shared" si="11"/>
        <v>0</v>
      </c>
      <c r="D43" s="198">
        <f t="shared" ref="D43:D74" si="14">B43+C43</f>
        <v>0</v>
      </c>
      <c r="E43" s="198">
        <f t="shared" si="6"/>
        <v>0</v>
      </c>
      <c r="F43" s="198"/>
      <c r="G43" s="198"/>
      <c r="H43" s="198">
        <f t="shared" si="7"/>
        <v>0</v>
      </c>
      <c r="I43" s="198">
        <f t="shared" si="9"/>
        <v>25120949.980072461</v>
      </c>
      <c r="J43" s="198">
        <f t="shared" ref="J43:J74" si="15">D43+H43</f>
        <v>0</v>
      </c>
      <c r="K43" s="198">
        <f t="shared" ref="K43:K74" si="16">B43+F43</f>
        <v>0</v>
      </c>
      <c r="L43" s="198">
        <f t="shared" ref="L43:L74" si="17">C43+G43</f>
        <v>0</v>
      </c>
      <c r="O43" s="194">
        <f t="shared" si="12"/>
        <v>636942.1345427389</v>
      </c>
      <c r="P43" s="193">
        <f t="shared" si="13"/>
        <v>636942.1345427389</v>
      </c>
      <c r="S43" s="193">
        <f>S42/2</f>
        <v>2175000</v>
      </c>
    </row>
    <row r="44" spans="1:19">
      <c r="A44" s="200">
        <v>33</v>
      </c>
      <c r="B44" s="198">
        <f t="shared" si="10"/>
        <v>0</v>
      </c>
      <c r="C44" s="198">
        <f t="shared" si="11"/>
        <v>0</v>
      </c>
      <c r="D44" s="198">
        <f t="shared" si="14"/>
        <v>0</v>
      </c>
      <c r="E44" s="198">
        <f t="shared" ref="E44:E75" si="18">E43-C44</f>
        <v>0</v>
      </c>
      <c r="F44" s="198"/>
      <c r="G44" s="198"/>
      <c r="H44" s="198">
        <f t="shared" ref="H44:H75" si="19">F44+G44</f>
        <v>0</v>
      </c>
      <c r="I44" s="198">
        <f t="shared" si="9"/>
        <v>25120949.980072461</v>
      </c>
      <c r="J44" s="198">
        <f t="shared" si="15"/>
        <v>0</v>
      </c>
      <c r="K44" s="198">
        <f t="shared" si="16"/>
        <v>0</v>
      </c>
      <c r="L44" s="198">
        <f t="shared" si="17"/>
        <v>0</v>
      </c>
      <c r="O44" s="194">
        <f t="shared" si="12"/>
        <v>644585.44015725178</v>
      </c>
      <c r="P44" s="193">
        <f t="shared" si="13"/>
        <v>644585.44015725178</v>
      </c>
      <c r="S44" s="193"/>
    </row>
    <row r="45" spans="1:19">
      <c r="A45" s="200">
        <v>34</v>
      </c>
      <c r="B45" s="198">
        <f t="shared" si="10"/>
        <v>0</v>
      </c>
      <c r="C45" s="198">
        <f t="shared" si="11"/>
        <v>0</v>
      </c>
      <c r="D45" s="198">
        <f t="shared" si="14"/>
        <v>0</v>
      </c>
      <c r="E45" s="198">
        <f t="shared" si="18"/>
        <v>0</v>
      </c>
      <c r="F45" s="198"/>
      <c r="G45" s="198"/>
      <c r="H45" s="198">
        <f t="shared" si="19"/>
        <v>0</v>
      </c>
      <c r="I45" s="198">
        <f t="shared" si="9"/>
        <v>25120949.980072461</v>
      </c>
      <c r="J45" s="198">
        <f t="shared" si="15"/>
        <v>0</v>
      </c>
      <c r="K45" s="198">
        <f t="shared" si="16"/>
        <v>0</v>
      </c>
      <c r="L45" s="198">
        <f t="shared" si="17"/>
        <v>0</v>
      </c>
      <c r="O45" s="194">
        <f t="shared" si="12"/>
        <v>652320.46543913882</v>
      </c>
      <c r="P45" s="193">
        <f t="shared" si="13"/>
        <v>652320.46543913882</v>
      </c>
      <c r="S45" s="194">
        <f>S43*0.2/100</f>
        <v>4350</v>
      </c>
    </row>
    <row r="46" spans="1:19">
      <c r="A46" s="200">
        <v>35</v>
      </c>
      <c r="B46" s="198">
        <f t="shared" si="10"/>
        <v>0</v>
      </c>
      <c r="C46" s="198">
        <f t="shared" si="11"/>
        <v>0</v>
      </c>
      <c r="D46" s="198">
        <f t="shared" si="14"/>
        <v>0</v>
      </c>
      <c r="E46" s="198">
        <f t="shared" si="18"/>
        <v>0</v>
      </c>
      <c r="F46" s="198"/>
      <c r="G46" s="198"/>
      <c r="H46" s="198">
        <f t="shared" si="19"/>
        <v>0</v>
      </c>
      <c r="I46" s="198">
        <f t="shared" si="9"/>
        <v>25120949.980072461</v>
      </c>
      <c r="J46" s="198">
        <f t="shared" si="15"/>
        <v>0</v>
      </c>
      <c r="K46" s="198">
        <f t="shared" si="16"/>
        <v>0</v>
      </c>
      <c r="L46" s="198">
        <f t="shared" si="17"/>
        <v>0</v>
      </c>
      <c r="O46" s="194">
        <f t="shared" si="12"/>
        <v>660148.31102440844</v>
      </c>
      <c r="P46" s="193">
        <f t="shared" si="13"/>
        <v>660148.31102440844</v>
      </c>
    </row>
    <row r="47" spans="1:19">
      <c r="A47" s="200">
        <v>36</v>
      </c>
      <c r="B47" s="198">
        <f t="shared" si="10"/>
        <v>0</v>
      </c>
      <c r="C47" s="198">
        <f t="shared" si="11"/>
        <v>0</v>
      </c>
      <c r="D47" s="198">
        <f t="shared" si="14"/>
        <v>0</v>
      </c>
      <c r="E47" s="198">
        <f t="shared" si="18"/>
        <v>0</v>
      </c>
      <c r="F47" s="198"/>
      <c r="G47" s="198"/>
      <c r="H47" s="198">
        <f t="shared" si="19"/>
        <v>0</v>
      </c>
      <c r="I47" s="198">
        <f t="shared" si="9"/>
        <v>25120949.980072461</v>
      </c>
      <c r="J47" s="198">
        <f t="shared" si="15"/>
        <v>0</v>
      </c>
      <c r="K47" s="198">
        <f t="shared" si="16"/>
        <v>0</v>
      </c>
      <c r="L47" s="198">
        <f t="shared" si="17"/>
        <v>0</v>
      </c>
      <c r="O47" s="194">
        <f t="shared" si="12"/>
        <v>668070.09075670131</v>
      </c>
      <c r="P47" s="193">
        <f t="shared" si="13"/>
        <v>668070.09075670131</v>
      </c>
    </row>
    <row r="48" spans="1:19">
      <c r="A48" s="200">
        <v>37</v>
      </c>
      <c r="B48" s="198">
        <f t="shared" si="10"/>
        <v>0</v>
      </c>
      <c r="C48" s="198">
        <f t="shared" si="11"/>
        <v>0</v>
      </c>
      <c r="D48" s="198">
        <f t="shared" si="14"/>
        <v>0</v>
      </c>
      <c r="E48" s="198">
        <f t="shared" si="18"/>
        <v>0</v>
      </c>
      <c r="F48" s="198"/>
      <c r="G48" s="198"/>
      <c r="H48" s="198">
        <f t="shared" si="19"/>
        <v>0</v>
      </c>
      <c r="I48" s="198">
        <f t="shared" si="9"/>
        <v>25120949.980072461</v>
      </c>
      <c r="J48" s="198">
        <f t="shared" si="15"/>
        <v>0</v>
      </c>
      <c r="K48" s="198">
        <f t="shared" si="16"/>
        <v>0</v>
      </c>
      <c r="L48" s="198">
        <f t="shared" si="17"/>
        <v>0</v>
      </c>
      <c r="O48" s="194">
        <f t="shared" si="12"/>
        <v>676086.93184578174</v>
      </c>
      <c r="P48" s="193">
        <f t="shared" si="13"/>
        <v>676086.93184578174</v>
      </c>
    </row>
    <row r="49" spans="1:16">
      <c r="A49" s="200">
        <v>38</v>
      </c>
      <c r="B49" s="198">
        <f t="shared" si="10"/>
        <v>0</v>
      </c>
      <c r="C49" s="198">
        <f t="shared" si="11"/>
        <v>0</v>
      </c>
      <c r="D49" s="198">
        <f t="shared" si="14"/>
        <v>0</v>
      </c>
      <c r="E49" s="198">
        <f t="shared" si="18"/>
        <v>0</v>
      </c>
      <c r="F49" s="198"/>
      <c r="G49" s="198"/>
      <c r="H49" s="198">
        <f t="shared" si="19"/>
        <v>0</v>
      </c>
      <c r="I49" s="198">
        <f t="shared" si="9"/>
        <v>25120949.980072461</v>
      </c>
      <c r="J49" s="198">
        <f t="shared" si="15"/>
        <v>0</v>
      </c>
      <c r="K49" s="198">
        <f t="shared" si="16"/>
        <v>0</v>
      </c>
      <c r="L49" s="198">
        <f t="shared" si="17"/>
        <v>0</v>
      </c>
      <c r="O49" s="194">
        <f t="shared" si="12"/>
        <v>684199.97502793116</v>
      </c>
      <c r="P49" s="193">
        <f t="shared" si="13"/>
        <v>684199.97502793116</v>
      </c>
    </row>
    <row r="50" spans="1:16">
      <c r="A50" s="200">
        <v>39</v>
      </c>
      <c r="B50" s="198">
        <f t="shared" si="10"/>
        <v>0</v>
      </c>
      <c r="C50" s="198">
        <f t="shared" si="11"/>
        <v>0</v>
      </c>
      <c r="D50" s="198">
        <f t="shared" si="14"/>
        <v>0</v>
      </c>
      <c r="E50" s="198">
        <f t="shared" si="18"/>
        <v>0</v>
      </c>
      <c r="F50" s="198"/>
      <c r="G50" s="198"/>
      <c r="H50" s="198">
        <f t="shared" si="19"/>
        <v>0</v>
      </c>
      <c r="I50" s="198">
        <f t="shared" si="9"/>
        <v>25120949.980072461</v>
      </c>
      <c r="J50" s="198">
        <f t="shared" si="15"/>
        <v>0</v>
      </c>
      <c r="K50" s="198">
        <f t="shared" si="16"/>
        <v>0</v>
      </c>
      <c r="L50" s="198">
        <f t="shared" si="17"/>
        <v>0</v>
      </c>
      <c r="O50" s="194">
        <f t="shared" si="12"/>
        <v>692410.37472826638</v>
      </c>
      <c r="P50" s="193">
        <f t="shared" si="13"/>
        <v>692410.37472826638</v>
      </c>
    </row>
    <row r="51" spans="1:16">
      <c r="A51" s="200">
        <v>40</v>
      </c>
      <c r="B51" s="198">
        <f t="shared" si="10"/>
        <v>0</v>
      </c>
      <c r="C51" s="198">
        <f t="shared" si="11"/>
        <v>0</v>
      </c>
      <c r="D51" s="198">
        <f t="shared" si="14"/>
        <v>0</v>
      </c>
      <c r="E51" s="198">
        <f t="shared" si="18"/>
        <v>0</v>
      </c>
      <c r="F51" s="198"/>
      <c r="G51" s="198"/>
      <c r="H51" s="198">
        <f t="shared" si="19"/>
        <v>0</v>
      </c>
      <c r="I51" s="198">
        <f t="shared" si="9"/>
        <v>25120949.980072461</v>
      </c>
      <c r="J51" s="198">
        <f t="shared" si="15"/>
        <v>0</v>
      </c>
      <c r="K51" s="198">
        <f t="shared" si="16"/>
        <v>0</v>
      </c>
      <c r="L51" s="198">
        <f t="shared" si="17"/>
        <v>0</v>
      </c>
      <c r="O51" s="194">
        <f t="shared" si="12"/>
        <v>700719.29922500555</v>
      </c>
      <c r="P51" s="193">
        <f t="shared" si="13"/>
        <v>700719.29922500555</v>
      </c>
    </row>
    <row r="52" spans="1:16">
      <c r="A52" s="200">
        <v>41</v>
      </c>
      <c r="B52" s="198">
        <f t="shared" si="10"/>
        <v>0</v>
      </c>
      <c r="C52" s="198">
        <f t="shared" si="11"/>
        <v>0</v>
      </c>
      <c r="D52" s="198">
        <f t="shared" si="14"/>
        <v>0</v>
      </c>
      <c r="E52" s="198">
        <f t="shared" si="18"/>
        <v>0</v>
      </c>
      <c r="F52" s="198"/>
      <c r="G52" s="198"/>
      <c r="H52" s="198">
        <f t="shared" si="19"/>
        <v>0</v>
      </c>
      <c r="I52" s="198">
        <f t="shared" si="9"/>
        <v>25120949.980072461</v>
      </c>
      <c r="J52" s="198">
        <f t="shared" si="15"/>
        <v>0</v>
      </c>
      <c r="K52" s="198">
        <f t="shared" si="16"/>
        <v>0</v>
      </c>
      <c r="L52" s="198">
        <f t="shared" si="17"/>
        <v>0</v>
      </c>
      <c r="O52" s="194">
        <f t="shared" si="12"/>
        <v>709127.93081570556</v>
      </c>
      <c r="P52" s="193">
        <f t="shared" si="13"/>
        <v>709127.93081570556</v>
      </c>
    </row>
    <row r="53" spans="1:16">
      <c r="A53" s="200">
        <v>42</v>
      </c>
      <c r="B53" s="198">
        <f t="shared" si="10"/>
        <v>0</v>
      </c>
      <c r="C53" s="198">
        <f t="shared" si="11"/>
        <v>0</v>
      </c>
      <c r="D53" s="198">
        <f t="shared" si="14"/>
        <v>0</v>
      </c>
      <c r="E53" s="198">
        <f t="shared" si="18"/>
        <v>0</v>
      </c>
      <c r="F53" s="198"/>
      <c r="G53" s="198"/>
      <c r="H53" s="198">
        <f t="shared" si="19"/>
        <v>0</v>
      </c>
      <c r="I53" s="198">
        <f t="shared" si="9"/>
        <v>25120949.980072461</v>
      </c>
      <c r="J53" s="198">
        <f t="shared" si="15"/>
        <v>0</v>
      </c>
      <c r="K53" s="198">
        <f t="shared" si="16"/>
        <v>0</v>
      </c>
      <c r="L53" s="198">
        <f t="shared" si="17"/>
        <v>0</v>
      </c>
      <c r="O53" s="194">
        <f t="shared" si="12"/>
        <v>717637.46598549408</v>
      </c>
      <c r="P53" s="193">
        <f t="shared" si="13"/>
        <v>717637.46598549408</v>
      </c>
    </row>
    <row r="54" spans="1:16">
      <c r="A54" s="200">
        <v>43</v>
      </c>
      <c r="B54" s="198">
        <f t="shared" si="10"/>
        <v>0</v>
      </c>
      <c r="C54" s="198">
        <f t="shared" si="11"/>
        <v>0</v>
      </c>
      <c r="D54" s="198">
        <f t="shared" si="14"/>
        <v>0</v>
      </c>
      <c r="E54" s="198">
        <f t="shared" si="18"/>
        <v>0</v>
      </c>
      <c r="F54" s="198"/>
      <c r="G54" s="198"/>
      <c r="H54" s="198">
        <f t="shared" si="19"/>
        <v>0</v>
      </c>
      <c r="I54" s="198">
        <f t="shared" si="9"/>
        <v>25120949.980072461</v>
      </c>
      <c r="J54" s="198">
        <f t="shared" si="15"/>
        <v>0</v>
      </c>
      <c r="K54" s="198">
        <f t="shared" si="16"/>
        <v>0</v>
      </c>
      <c r="L54" s="198">
        <f t="shared" si="17"/>
        <v>0</v>
      </c>
      <c r="O54" s="194">
        <f t="shared" si="12"/>
        <v>726249.11557731999</v>
      </c>
      <c r="P54" s="193">
        <f t="shared" si="13"/>
        <v>726249.11557731999</v>
      </c>
    </row>
    <row r="55" spans="1:16">
      <c r="A55" s="200">
        <v>44</v>
      </c>
      <c r="B55" s="198">
        <f t="shared" si="10"/>
        <v>0</v>
      </c>
      <c r="C55" s="198">
        <f t="shared" si="11"/>
        <v>0</v>
      </c>
      <c r="D55" s="198">
        <f t="shared" si="14"/>
        <v>0</v>
      </c>
      <c r="E55" s="198">
        <f t="shared" si="18"/>
        <v>0</v>
      </c>
      <c r="F55" s="198"/>
      <c r="G55" s="198"/>
      <c r="H55" s="198">
        <f t="shared" si="19"/>
        <v>0</v>
      </c>
      <c r="I55" s="198">
        <f t="shared" si="9"/>
        <v>25120949.980072461</v>
      </c>
      <c r="J55" s="198">
        <f t="shared" si="15"/>
        <v>0</v>
      </c>
      <c r="K55" s="198">
        <f t="shared" si="16"/>
        <v>0</v>
      </c>
      <c r="L55" s="198">
        <f t="shared" si="17"/>
        <v>0</v>
      </c>
      <c r="O55" s="194">
        <f t="shared" si="12"/>
        <v>734964.10496424779</v>
      </c>
      <c r="P55" s="193">
        <f t="shared" si="13"/>
        <v>734964.10496424779</v>
      </c>
    </row>
    <row r="56" spans="1:16">
      <c r="A56" s="200">
        <v>45</v>
      </c>
      <c r="B56" s="198">
        <f t="shared" si="10"/>
        <v>0</v>
      </c>
      <c r="C56" s="198">
        <f t="shared" si="11"/>
        <v>0</v>
      </c>
      <c r="D56" s="198">
        <f t="shared" si="14"/>
        <v>0</v>
      </c>
      <c r="E56" s="198">
        <f t="shared" si="18"/>
        <v>0</v>
      </c>
      <c r="F56" s="198"/>
      <c r="G56" s="198"/>
      <c r="H56" s="198">
        <f t="shared" si="19"/>
        <v>0</v>
      </c>
      <c r="I56" s="198">
        <f t="shared" ref="I56:I87" si="20">I55-G56</f>
        <v>25120949.980072461</v>
      </c>
      <c r="J56" s="198">
        <f t="shared" si="15"/>
        <v>0</v>
      </c>
      <c r="K56" s="198">
        <f t="shared" si="16"/>
        <v>0</v>
      </c>
      <c r="L56" s="198">
        <f t="shared" si="17"/>
        <v>0</v>
      </c>
      <c r="O56" s="194">
        <f t="shared" si="12"/>
        <v>743783.67422381882</v>
      </c>
      <c r="P56" s="193">
        <f t="shared" si="13"/>
        <v>743783.67422381882</v>
      </c>
    </row>
    <row r="57" spans="1:16">
      <c r="A57" s="200">
        <v>46</v>
      </c>
      <c r="B57" s="198">
        <f t="shared" si="10"/>
        <v>0</v>
      </c>
      <c r="C57" s="198">
        <f t="shared" si="11"/>
        <v>0</v>
      </c>
      <c r="D57" s="198">
        <f t="shared" si="14"/>
        <v>0</v>
      </c>
      <c r="E57" s="198">
        <f t="shared" si="18"/>
        <v>0</v>
      </c>
      <c r="F57" s="198"/>
      <c r="G57" s="198"/>
      <c r="H57" s="198">
        <f t="shared" si="19"/>
        <v>0</v>
      </c>
      <c r="I57" s="198">
        <f t="shared" si="20"/>
        <v>25120949.980072461</v>
      </c>
      <c r="J57" s="198">
        <f t="shared" si="15"/>
        <v>0</v>
      </c>
      <c r="K57" s="198">
        <f t="shared" si="16"/>
        <v>0</v>
      </c>
      <c r="L57" s="198">
        <f t="shared" si="17"/>
        <v>0</v>
      </c>
      <c r="O57" s="194">
        <f t="shared" si="12"/>
        <v>752709.07831450459</v>
      </c>
      <c r="P57" s="193">
        <f t="shared" si="13"/>
        <v>752709.07831450459</v>
      </c>
    </row>
    <row r="58" spans="1:16">
      <c r="A58" s="200">
        <v>47</v>
      </c>
      <c r="B58" s="198">
        <f t="shared" si="10"/>
        <v>0</v>
      </c>
      <c r="C58" s="198">
        <f t="shared" si="11"/>
        <v>0</v>
      </c>
      <c r="D58" s="198">
        <f t="shared" si="14"/>
        <v>0</v>
      </c>
      <c r="E58" s="198">
        <f t="shared" si="18"/>
        <v>0</v>
      </c>
      <c r="F58" s="198"/>
      <c r="G58" s="198"/>
      <c r="H58" s="198">
        <f t="shared" si="19"/>
        <v>0</v>
      </c>
      <c r="I58" s="198">
        <f t="shared" si="20"/>
        <v>25120949.980072461</v>
      </c>
      <c r="J58" s="198">
        <f t="shared" si="15"/>
        <v>0</v>
      </c>
      <c r="K58" s="198">
        <f t="shared" si="16"/>
        <v>0</v>
      </c>
      <c r="L58" s="198">
        <f t="shared" si="17"/>
        <v>0</v>
      </c>
      <c r="O58" s="194">
        <f t="shared" si="12"/>
        <v>761741.58725427859</v>
      </c>
      <c r="P58" s="193">
        <f t="shared" si="13"/>
        <v>761741.58725427859</v>
      </c>
    </row>
    <row r="59" spans="1:16">
      <c r="A59" s="200">
        <v>48</v>
      </c>
      <c r="B59" s="198">
        <f t="shared" si="10"/>
        <v>0</v>
      </c>
      <c r="C59" s="198">
        <f t="shared" si="11"/>
        <v>0</v>
      </c>
      <c r="D59" s="198">
        <f t="shared" si="14"/>
        <v>0</v>
      </c>
      <c r="E59" s="198">
        <f t="shared" si="18"/>
        <v>0</v>
      </c>
      <c r="F59" s="198"/>
      <c r="G59" s="198"/>
      <c r="H59" s="198">
        <f t="shared" si="19"/>
        <v>0</v>
      </c>
      <c r="I59" s="198">
        <f t="shared" si="20"/>
        <v>25120949.980072461</v>
      </c>
      <c r="J59" s="198">
        <f t="shared" si="15"/>
        <v>0</v>
      </c>
      <c r="K59" s="198">
        <f t="shared" si="16"/>
        <v>0</v>
      </c>
      <c r="L59" s="198">
        <f t="shared" si="17"/>
        <v>0</v>
      </c>
      <c r="O59" s="194">
        <f t="shared" si="12"/>
        <v>770882.48630132992</v>
      </c>
      <c r="P59" s="193">
        <f t="shared" si="13"/>
        <v>770882.48630132992</v>
      </c>
    </row>
    <row r="60" spans="1:16">
      <c r="A60" s="200">
        <v>49</v>
      </c>
      <c r="B60" s="198">
        <f t="shared" si="10"/>
        <v>0</v>
      </c>
      <c r="C60" s="198">
        <f t="shared" si="11"/>
        <v>0</v>
      </c>
      <c r="D60" s="198">
        <f t="shared" si="14"/>
        <v>0</v>
      </c>
      <c r="E60" s="198">
        <f t="shared" si="18"/>
        <v>0</v>
      </c>
      <c r="F60" s="198"/>
      <c r="G60" s="198"/>
      <c r="H60" s="198">
        <f t="shared" si="19"/>
        <v>0</v>
      </c>
      <c r="I60" s="198">
        <f t="shared" si="20"/>
        <v>25120949.980072461</v>
      </c>
      <c r="J60" s="198">
        <f t="shared" si="15"/>
        <v>0</v>
      </c>
      <c r="K60" s="198">
        <f t="shared" si="16"/>
        <v>0</v>
      </c>
      <c r="L60" s="198">
        <f t="shared" si="17"/>
        <v>0</v>
      </c>
      <c r="O60" s="194">
        <f t="shared" si="12"/>
        <v>780133.07613694586</v>
      </c>
      <c r="P60" s="193">
        <f t="shared" si="13"/>
        <v>780133.07613694586</v>
      </c>
    </row>
    <row r="61" spans="1:16">
      <c r="A61" s="200">
        <v>50</v>
      </c>
      <c r="B61" s="198">
        <f t="shared" si="10"/>
        <v>0</v>
      </c>
      <c r="C61" s="198">
        <f t="shared" si="11"/>
        <v>0</v>
      </c>
      <c r="D61" s="198">
        <f t="shared" si="14"/>
        <v>0</v>
      </c>
      <c r="E61" s="198">
        <f t="shared" si="18"/>
        <v>0</v>
      </c>
      <c r="F61" s="198"/>
      <c r="G61" s="198"/>
      <c r="H61" s="198">
        <f t="shared" si="19"/>
        <v>0</v>
      </c>
      <c r="I61" s="198">
        <f t="shared" si="20"/>
        <v>25120949.980072461</v>
      </c>
      <c r="J61" s="198">
        <f t="shared" si="15"/>
        <v>0</v>
      </c>
      <c r="K61" s="198">
        <f t="shared" si="16"/>
        <v>0</v>
      </c>
      <c r="L61" s="198">
        <f t="shared" si="17"/>
        <v>0</v>
      </c>
      <c r="O61" s="194">
        <f t="shared" si="12"/>
        <v>789494.67305058916</v>
      </c>
      <c r="P61" s="193">
        <f t="shared" si="13"/>
        <v>789494.67305058916</v>
      </c>
    </row>
    <row r="62" spans="1:16">
      <c r="A62" s="200">
        <v>51</v>
      </c>
      <c r="B62" s="198">
        <f t="shared" si="10"/>
        <v>0</v>
      </c>
      <c r="C62" s="198">
        <f t="shared" si="11"/>
        <v>0</v>
      </c>
      <c r="D62" s="198">
        <f t="shared" si="14"/>
        <v>0</v>
      </c>
      <c r="E62" s="198">
        <f t="shared" si="18"/>
        <v>0</v>
      </c>
      <c r="F62" s="198"/>
      <c r="G62" s="198"/>
      <c r="H62" s="198">
        <f t="shared" si="19"/>
        <v>0</v>
      </c>
      <c r="I62" s="198">
        <f t="shared" si="20"/>
        <v>25120949.980072461</v>
      </c>
      <c r="J62" s="198">
        <f t="shared" si="15"/>
        <v>0</v>
      </c>
      <c r="K62" s="198">
        <f t="shared" si="16"/>
        <v>0</v>
      </c>
      <c r="L62" s="198">
        <f t="shared" si="17"/>
        <v>0</v>
      </c>
      <c r="O62" s="194">
        <f t="shared" si="12"/>
        <v>798968.60912719625</v>
      </c>
      <c r="P62" s="193">
        <f t="shared" si="13"/>
        <v>798968.60912719625</v>
      </c>
    </row>
    <row r="63" spans="1:16">
      <c r="A63" s="200">
        <v>52</v>
      </c>
      <c r="B63" s="198">
        <f t="shared" si="10"/>
        <v>0</v>
      </c>
      <c r="C63" s="198">
        <f t="shared" si="11"/>
        <v>0</v>
      </c>
      <c r="D63" s="198">
        <f t="shared" si="14"/>
        <v>0</v>
      </c>
      <c r="E63" s="198">
        <f t="shared" si="18"/>
        <v>0</v>
      </c>
      <c r="F63" s="198"/>
      <c r="G63" s="198"/>
      <c r="H63" s="198">
        <f t="shared" si="19"/>
        <v>0</v>
      </c>
      <c r="I63" s="198">
        <f t="shared" si="20"/>
        <v>25120949.980072461</v>
      </c>
      <c r="J63" s="198">
        <f t="shared" si="15"/>
        <v>0</v>
      </c>
      <c r="K63" s="198">
        <f t="shared" si="16"/>
        <v>0</v>
      </c>
      <c r="L63" s="198">
        <f t="shared" si="17"/>
        <v>0</v>
      </c>
      <c r="O63" s="194">
        <f t="shared" si="12"/>
        <v>808556.23243672261</v>
      </c>
      <c r="P63" s="193">
        <f t="shared" si="13"/>
        <v>808556.23243672261</v>
      </c>
    </row>
    <row r="64" spans="1:16">
      <c r="A64" s="200">
        <v>53</v>
      </c>
      <c r="B64" s="198">
        <f t="shared" si="10"/>
        <v>0</v>
      </c>
      <c r="C64" s="198">
        <f t="shared" si="11"/>
        <v>0</v>
      </c>
      <c r="D64" s="198">
        <f t="shared" si="14"/>
        <v>0</v>
      </c>
      <c r="E64" s="198">
        <f t="shared" si="18"/>
        <v>0</v>
      </c>
      <c r="F64" s="198"/>
      <c r="G64" s="198"/>
      <c r="H64" s="198">
        <f t="shared" si="19"/>
        <v>0</v>
      </c>
      <c r="I64" s="198">
        <f t="shared" si="20"/>
        <v>25120949.980072461</v>
      </c>
      <c r="J64" s="198">
        <f t="shared" si="15"/>
        <v>0</v>
      </c>
      <c r="K64" s="198">
        <f t="shared" si="16"/>
        <v>0</v>
      </c>
      <c r="L64" s="198">
        <f t="shared" si="17"/>
        <v>0</v>
      </c>
    </row>
    <row r="65" spans="1:12">
      <c r="A65" s="200">
        <v>54</v>
      </c>
      <c r="B65" s="198">
        <f t="shared" si="10"/>
        <v>0</v>
      </c>
      <c r="C65" s="198">
        <f t="shared" si="11"/>
        <v>0</v>
      </c>
      <c r="D65" s="198">
        <f t="shared" si="14"/>
        <v>0</v>
      </c>
      <c r="E65" s="198">
        <f t="shared" si="18"/>
        <v>0</v>
      </c>
      <c r="F65" s="198"/>
      <c r="G65" s="198"/>
      <c r="H65" s="198">
        <f t="shared" si="19"/>
        <v>0</v>
      </c>
      <c r="I65" s="198">
        <f t="shared" si="20"/>
        <v>25120949.980072461</v>
      </c>
      <c r="J65" s="198">
        <f t="shared" si="15"/>
        <v>0</v>
      </c>
      <c r="K65" s="198">
        <f t="shared" si="16"/>
        <v>0</v>
      </c>
      <c r="L65" s="198">
        <f t="shared" si="17"/>
        <v>0</v>
      </c>
    </row>
    <row r="66" spans="1:12">
      <c r="A66" s="200">
        <v>55</v>
      </c>
      <c r="B66" s="198">
        <f t="shared" si="10"/>
        <v>0</v>
      </c>
      <c r="C66" s="198">
        <f t="shared" si="11"/>
        <v>0</v>
      </c>
      <c r="D66" s="198">
        <f t="shared" si="14"/>
        <v>0</v>
      </c>
      <c r="E66" s="198">
        <f t="shared" si="18"/>
        <v>0</v>
      </c>
      <c r="F66" s="198"/>
      <c r="G66" s="198"/>
      <c r="H66" s="198">
        <f t="shared" si="19"/>
        <v>0</v>
      </c>
      <c r="I66" s="198">
        <f t="shared" si="20"/>
        <v>25120949.980072461</v>
      </c>
      <c r="J66" s="198">
        <f t="shared" si="15"/>
        <v>0</v>
      </c>
      <c r="K66" s="198">
        <f t="shared" si="16"/>
        <v>0</v>
      </c>
      <c r="L66" s="198">
        <f t="shared" si="17"/>
        <v>0</v>
      </c>
    </row>
    <row r="67" spans="1:12">
      <c r="A67" s="200">
        <v>56</v>
      </c>
      <c r="B67" s="198">
        <f t="shared" si="10"/>
        <v>0</v>
      </c>
      <c r="C67" s="198">
        <f t="shared" si="11"/>
        <v>0</v>
      </c>
      <c r="D67" s="198">
        <f t="shared" si="14"/>
        <v>0</v>
      </c>
      <c r="E67" s="198">
        <f t="shared" si="18"/>
        <v>0</v>
      </c>
      <c r="F67" s="198"/>
      <c r="G67" s="198"/>
      <c r="H67" s="198">
        <f t="shared" si="19"/>
        <v>0</v>
      </c>
      <c r="I67" s="198">
        <f t="shared" si="20"/>
        <v>25120949.980072461</v>
      </c>
      <c r="J67" s="198">
        <f t="shared" si="15"/>
        <v>0</v>
      </c>
      <c r="K67" s="198">
        <f t="shared" si="16"/>
        <v>0</v>
      </c>
      <c r="L67" s="198">
        <f t="shared" si="17"/>
        <v>0</v>
      </c>
    </row>
    <row r="68" spans="1:12">
      <c r="A68" s="200">
        <v>57</v>
      </c>
      <c r="B68" s="198">
        <f t="shared" ref="B68:B99" si="21">E67*($G$3/12)</f>
        <v>0</v>
      </c>
      <c r="C68" s="198">
        <f t="shared" ref="C68:C99" si="22">$E$11/96</f>
        <v>0</v>
      </c>
      <c r="D68" s="198">
        <f t="shared" si="14"/>
        <v>0</v>
      </c>
      <c r="E68" s="198">
        <f t="shared" si="18"/>
        <v>0</v>
      </c>
      <c r="F68" s="198"/>
      <c r="G68" s="198"/>
      <c r="H68" s="198">
        <f t="shared" si="19"/>
        <v>0</v>
      </c>
      <c r="I68" s="198">
        <f t="shared" si="20"/>
        <v>25120949.980072461</v>
      </c>
      <c r="J68" s="198">
        <f t="shared" si="15"/>
        <v>0</v>
      </c>
      <c r="K68" s="198">
        <f t="shared" si="16"/>
        <v>0</v>
      </c>
      <c r="L68" s="198">
        <f t="shared" si="17"/>
        <v>0</v>
      </c>
    </row>
    <row r="69" spans="1:12">
      <c r="A69" s="200">
        <v>58</v>
      </c>
      <c r="B69" s="198">
        <f t="shared" si="21"/>
        <v>0</v>
      </c>
      <c r="C69" s="198">
        <f t="shared" si="22"/>
        <v>0</v>
      </c>
      <c r="D69" s="198">
        <f t="shared" si="14"/>
        <v>0</v>
      </c>
      <c r="E69" s="198">
        <f t="shared" si="18"/>
        <v>0</v>
      </c>
      <c r="F69" s="198"/>
      <c r="G69" s="198"/>
      <c r="H69" s="198">
        <f t="shared" si="19"/>
        <v>0</v>
      </c>
      <c r="I69" s="198">
        <f t="shared" si="20"/>
        <v>25120949.980072461</v>
      </c>
      <c r="J69" s="198">
        <f t="shared" si="15"/>
        <v>0</v>
      </c>
      <c r="K69" s="198">
        <f t="shared" si="16"/>
        <v>0</v>
      </c>
      <c r="L69" s="198">
        <f t="shared" si="17"/>
        <v>0</v>
      </c>
    </row>
    <row r="70" spans="1:12">
      <c r="A70" s="200">
        <v>59</v>
      </c>
      <c r="B70" s="198">
        <f t="shared" si="21"/>
        <v>0</v>
      </c>
      <c r="C70" s="198">
        <f t="shared" si="22"/>
        <v>0</v>
      </c>
      <c r="D70" s="198">
        <f t="shared" si="14"/>
        <v>0</v>
      </c>
      <c r="E70" s="198">
        <f t="shared" si="18"/>
        <v>0</v>
      </c>
      <c r="F70" s="198"/>
      <c r="G70" s="198"/>
      <c r="H70" s="198">
        <f t="shared" si="19"/>
        <v>0</v>
      </c>
      <c r="I70" s="198">
        <f t="shared" si="20"/>
        <v>25120949.980072461</v>
      </c>
      <c r="J70" s="198">
        <f t="shared" si="15"/>
        <v>0</v>
      </c>
      <c r="K70" s="198">
        <f t="shared" si="16"/>
        <v>0</v>
      </c>
      <c r="L70" s="198">
        <f t="shared" si="17"/>
        <v>0</v>
      </c>
    </row>
    <row r="71" spans="1:12">
      <c r="A71" s="200">
        <v>60</v>
      </c>
      <c r="B71" s="198">
        <f t="shared" si="21"/>
        <v>0</v>
      </c>
      <c r="C71" s="198">
        <f t="shared" si="22"/>
        <v>0</v>
      </c>
      <c r="D71" s="198">
        <f t="shared" si="14"/>
        <v>0</v>
      </c>
      <c r="E71" s="198">
        <f t="shared" si="18"/>
        <v>0</v>
      </c>
      <c r="F71" s="198"/>
      <c r="G71" s="198"/>
      <c r="H71" s="198">
        <f t="shared" si="19"/>
        <v>0</v>
      </c>
      <c r="I71" s="198">
        <f t="shared" si="20"/>
        <v>25120949.980072461</v>
      </c>
      <c r="J71" s="198">
        <f t="shared" si="15"/>
        <v>0</v>
      </c>
      <c r="K71" s="198">
        <f t="shared" si="16"/>
        <v>0</v>
      </c>
      <c r="L71" s="198">
        <f t="shared" si="17"/>
        <v>0</v>
      </c>
    </row>
    <row r="72" spans="1:12">
      <c r="A72" s="200">
        <v>61</v>
      </c>
      <c r="B72" s="198">
        <f t="shared" si="21"/>
        <v>0</v>
      </c>
      <c r="C72" s="198">
        <f t="shared" si="22"/>
        <v>0</v>
      </c>
      <c r="D72" s="198">
        <f t="shared" si="14"/>
        <v>0</v>
      </c>
      <c r="E72" s="198">
        <f t="shared" si="18"/>
        <v>0</v>
      </c>
      <c r="F72" s="198"/>
      <c r="G72" s="198"/>
      <c r="H72" s="198">
        <f t="shared" si="19"/>
        <v>0</v>
      </c>
      <c r="I72" s="198">
        <f t="shared" si="20"/>
        <v>25120949.980072461</v>
      </c>
      <c r="J72" s="198">
        <f t="shared" si="15"/>
        <v>0</v>
      </c>
      <c r="K72" s="198">
        <f t="shared" si="16"/>
        <v>0</v>
      </c>
      <c r="L72" s="198">
        <f t="shared" si="17"/>
        <v>0</v>
      </c>
    </row>
    <row r="73" spans="1:12">
      <c r="A73" s="200">
        <v>62</v>
      </c>
      <c r="B73" s="198">
        <f t="shared" si="21"/>
        <v>0</v>
      </c>
      <c r="C73" s="198">
        <f t="shared" si="22"/>
        <v>0</v>
      </c>
      <c r="D73" s="198">
        <f t="shared" si="14"/>
        <v>0</v>
      </c>
      <c r="E73" s="198">
        <f t="shared" si="18"/>
        <v>0</v>
      </c>
      <c r="F73" s="198"/>
      <c r="G73" s="198"/>
      <c r="H73" s="198">
        <f t="shared" si="19"/>
        <v>0</v>
      </c>
      <c r="I73" s="198">
        <f t="shared" si="20"/>
        <v>25120949.980072461</v>
      </c>
      <c r="J73" s="198">
        <f t="shared" si="15"/>
        <v>0</v>
      </c>
      <c r="K73" s="198">
        <f t="shared" si="16"/>
        <v>0</v>
      </c>
      <c r="L73" s="198">
        <f t="shared" si="17"/>
        <v>0</v>
      </c>
    </row>
    <row r="74" spans="1:12">
      <c r="A74" s="200">
        <v>63</v>
      </c>
      <c r="B74" s="198">
        <f t="shared" si="21"/>
        <v>0</v>
      </c>
      <c r="C74" s="198">
        <f t="shared" si="22"/>
        <v>0</v>
      </c>
      <c r="D74" s="198">
        <f t="shared" si="14"/>
        <v>0</v>
      </c>
      <c r="E74" s="198">
        <f t="shared" si="18"/>
        <v>0</v>
      </c>
      <c r="F74" s="198"/>
      <c r="G74" s="198"/>
      <c r="H74" s="198">
        <f t="shared" si="19"/>
        <v>0</v>
      </c>
      <c r="I74" s="198">
        <f t="shared" si="20"/>
        <v>25120949.980072461</v>
      </c>
      <c r="J74" s="198">
        <f t="shared" si="15"/>
        <v>0</v>
      </c>
      <c r="K74" s="198">
        <f t="shared" si="16"/>
        <v>0</v>
      </c>
      <c r="L74" s="198">
        <f t="shared" si="17"/>
        <v>0</v>
      </c>
    </row>
    <row r="75" spans="1:12">
      <c r="A75" s="200">
        <v>64</v>
      </c>
      <c r="B75" s="198">
        <f t="shared" si="21"/>
        <v>0</v>
      </c>
      <c r="C75" s="198">
        <f t="shared" si="22"/>
        <v>0</v>
      </c>
      <c r="D75" s="198">
        <f t="shared" ref="D75:D106" si="23">B75+C75</f>
        <v>0</v>
      </c>
      <c r="E75" s="198">
        <f t="shared" si="18"/>
        <v>0</v>
      </c>
      <c r="F75" s="198"/>
      <c r="G75" s="198"/>
      <c r="H75" s="198">
        <f t="shared" si="19"/>
        <v>0</v>
      </c>
      <c r="I75" s="198">
        <f t="shared" si="20"/>
        <v>25120949.980072461</v>
      </c>
      <c r="J75" s="198">
        <f t="shared" ref="J75:J106" si="24">D75+H75</f>
        <v>0</v>
      </c>
      <c r="K75" s="198">
        <f t="shared" ref="K75:K106" si="25">B75+F75</f>
        <v>0</v>
      </c>
      <c r="L75" s="198">
        <f t="shared" ref="L75:L106" si="26">C75+G75</f>
        <v>0</v>
      </c>
    </row>
    <row r="76" spans="1:12">
      <c r="A76" s="200">
        <v>65</v>
      </c>
      <c r="B76" s="198">
        <f t="shared" si="21"/>
        <v>0</v>
      </c>
      <c r="C76" s="198">
        <f t="shared" si="22"/>
        <v>0</v>
      </c>
      <c r="D76" s="198">
        <f t="shared" si="23"/>
        <v>0</v>
      </c>
      <c r="E76" s="198">
        <f t="shared" ref="E76:E107" si="27">E75-C76</f>
        <v>0</v>
      </c>
      <c r="F76" s="198"/>
      <c r="G76" s="198"/>
      <c r="H76" s="198">
        <f t="shared" ref="H76:H107" si="28">F76+G76</f>
        <v>0</v>
      </c>
      <c r="I76" s="198">
        <f t="shared" si="20"/>
        <v>25120949.980072461</v>
      </c>
      <c r="J76" s="198">
        <f t="shared" si="24"/>
        <v>0</v>
      </c>
      <c r="K76" s="198">
        <f t="shared" si="25"/>
        <v>0</v>
      </c>
      <c r="L76" s="198">
        <f t="shared" si="26"/>
        <v>0</v>
      </c>
    </row>
    <row r="77" spans="1:12">
      <c r="A77" s="200">
        <v>66</v>
      </c>
      <c r="B77" s="198">
        <f t="shared" si="21"/>
        <v>0</v>
      </c>
      <c r="C77" s="198">
        <f t="shared" si="22"/>
        <v>0</v>
      </c>
      <c r="D77" s="198">
        <f t="shared" si="23"/>
        <v>0</v>
      </c>
      <c r="E77" s="198">
        <f t="shared" si="27"/>
        <v>0</v>
      </c>
      <c r="F77" s="198"/>
      <c r="G77" s="198"/>
      <c r="H77" s="198">
        <f t="shared" si="28"/>
        <v>0</v>
      </c>
      <c r="I77" s="198">
        <f t="shared" si="20"/>
        <v>25120949.980072461</v>
      </c>
      <c r="J77" s="198">
        <f t="shared" si="24"/>
        <v>0</v>
      </c>
      <c r="K77" s="198">
        <f t="shared" si="25"/>
        <v>0</v>
      </c>
      <c r="L77" s="198">
        <f t="shared" si="26"/>
        <v>0</v>
      </c>
    </row>
    <row r="78" spans="1:12">
      <c r="A78" s="200">
        <v>67</v>
      </c>
      <c r="B78" s="198">
        <f t="shared" si="21"/>
        <v>0</v>
      </c>
      <c r="C78" s="198">
        <f t="shared" si="22"/>
        <v>0</v>
      </c>
      <c r="D78" s="198">
        <f t="shared" si="23"/>
        <v>0</v>
      </c>
      <c r="E78" s="198">
        <f t="shared" si="27"/>
        <v>0</v>
      </c>
      <c r="F78" s="198"/>
      <c r="G78" s="198"/>
      <c r="H78" s="198">
        <f t="shared" si="28"/>
        <v>0</v>
      </c>
      <c r="I78" s="198">
        <f t="shared" si="20"/>
        <v>25120949.980072461</v>
      </c>
      <c r="J78" s="198">
        <f t="shared" si="24"/>
        <v>0</v>
      </c>
      <c r="K78" s="198">
        <f t="shared" si="25"/>
        <v>0</v>
      </c>
      <c r="L78" s="198">
        <f t="shared" si="26"/>
        <v>0</v>
      </c>
    </row>
    <row r="79" spans="1:12">
      <c r="A79" s="200">
        <v>68</v>
      </c>
      <c r="B79" s="198">
        <f t="shared" si="21"/>
        <v>0</v>
      </c>
      <c r="C79" s="198">
        <f t="shared" si="22"/>
        <v>0</v>
      </c>
      <c r="D79" s="198">
        <f t="shared" si="23"/>
        <v>0</v>
      </c>
      <c r="E79" s="198">
        <f t="shared" si="27"/>
        <v>0</v>
      </c>
      <c r="F79" s="198"/>
      <c r="G79" s="198"/>
      <c r="H79" s="198">
        <f t="shared" si="28"/>
        <v>0</v>
      </c>
      <c r="I79" s="198">
        <f t="shared" si="20"/>
        <v>25120949.980072461</v>
      </c>
      <c r="J79" s="198">
        <f t="shared" si="24"/>
        <v>0</v>
      </c>
      <c r="K79" s="198">
        <f t="shared" si="25"/>
        <v>0</v>
      </c>
      <c r="L79" s="198">
        <f t="shared" si="26"/>
        <v>0</v>
      </c>
    </row>
    <row r="80" spans="1:12">
      <c r="A80" s="200">
        <v>69</v>
      </c>
      <c r="B80" s="198">
        <f t="shared" si="21"/>
        <v>0</v>
      </c>
      <c r="C80" s="198">
        <f t="shared" si="22"/>
        <v>0</v>
      </c>
      <c r="D80" s="198">
        <f t="shared" si="23"/>
        <v>0</v>
      </c>
      <c r="E80" s="198">
        <f t="shared" si="27"/>
        <v>0</v>
      </c>
      <c r="F80" s="198"/>
      <c r="G80" s="198"/>
      <c r="H80" s="198">
        <f t="shared" si="28"/>
        <v>0</v>
      </c>
      <c r="I80" s="198">
        <f t="shared" si="20"/>
        <v>25120949.980072461</v>
      </c>
      <c r="J80" s="198">
        <f t="shared" si="24"/>
        <v>0</v>
      </c>
      <c r="K80" s="198">
        <f t="shared" si="25"/>
        <v>0</v>
      </c>
      <c r="L80" s="198">
        <f t="shared" si="26"/>
        <v>0</v>
      </c>
    </row>
    <row r="81" spans="1:12">
      <c r="A81" s="200">
        <v>70</v>
      </c>
      <c r="B81" s="198">
        <f t="shared" si="21"/>
        <v>0</v>
      </c>
      <c r="C81" s="198">
        <f t="shared" si="22"/>
        <v>0</v>
      </c>
      <c r="D81" s="198">
        <f t="shared" si="23"/>
        <v>0</v>
      </c>
      <c r="E81" s="198">
        <f t="shared" si="27"/>
        <v>0</v>
      </c>
      <c r="F81" s="198"/>
      <c r="G81" s="198"/>
      <c r="H81" s="198">
        <f t="shared" si="28"/>
        <v>0</v>
      </c>
      <c r="I81" s="198">
        <f t="shared" si="20"/>
        <v>25120949.980072461</v>
      </c>
      <c r="J81" s="198">
        <f t="shared" si="24"/>
        <v>0</v>
      </c>
      <c r="K81" s="198">
        <f t="shared" si="25"/>
        <v>0</v>
      </c>
      <c r="L81" s="198">
        <f t="shared" si="26"/>
        <v>0</v>
      </c>
    </row>
    <row r="82" spans="1:12">
      <c r="A82" s="200">
        <v>71</v>
      </c>
      <c r="B82" s="198">
        <f t="shared" si="21"/>
        <v>0</v>
      </c>
      <c r="C82" s="198">
        <f t="shared" si="22"/>
        <v>0</v>
      </c>
      <c r="D82" s="198">
        <f t="shared" si="23"/>
        <v>0</v>
      </c>
      <c r="E82" s="198">
        <f t="shared" si="27"/>
        <v>0</v>
      </c>
      <c r="F82" s="198"/>
      <c r="G82" s="198"/>
      <c r="H82" s="198">
        <f t="shared" si="28"/>
        <v>0</v>
      </c>
      <c r="I82" s="198">
        <f t="shared" si="20"/>
        <v>25120949.980072461</v>
      </c>
      <c r="J82" s="198">
        <f t="shared" si="24"/>
        <v>0</v>
      </c>
      <c r="K82" s="198">
        <f t="shared" si="25"/>
        <v>0</v>
      </c>
      <c r="L82" s="198">
        <f t="shared" si="26"/>
        <v>0</v>
      </c>
    </row>
    <row r="83" spans="1:12">
      <c r="A83" s="200">
        <v>72</v>
      </c>
      <c r="B83" s="198">
        <f t="shared" si="21"/>
        <v>0</v>
      </c>
      <c r="C83" s="198">
        <f t="shared" si="22"/>
        <v>0</v>
      </c>
      <c r="D83" s="198">
        <f t="shared" si="23"/>
        <v>0</v>
      </c>
      <c r="E83" s="198">
        <f t="shared" si="27"/>
        <v>0</v>
      </c>
      <c r="F83" s="198"/>
      <c r="G83" s="198"/>
      <c r="H83" s="198">
        <f t="shared" si="28"/>
        <v>0</v>
      </c>
      <c r="I83" s="198">
        <f t="shared" si="20"/>
        <v>25120949.980072461</v>
      </c>
      <c r="J83" s="198">
        <f t="shared" si="24"/>
        <v>0</v>
      </c>
      <c r="K83" s="198">
        <f t="shared" si="25"/>
        <v>0</v>
      </c>
      <c r="L83" s="198">
        <f t="shared" si="26"/>
        <v>0</v>
      </c>
    </row>
    <row r="84" spans="1:12">
      <c r="A84" s="200">
        <v>73</v>
      </c>
      <c r="B84" s="198">
        <f t="shared" si="21"/>
        <v>0</v>
      </c>
      <c r="C84" s="198">
        <f t="shared" si="22"/>
        <v>0</v>
      </c>
      <c r="D84" s="198">
        <f t="shared" si="23"/>
        <v>0</v>
      </c>
      <c r="E84" s="198">
        <f t="shared" si="27"/>
        <v>0</v>
      </c>
      <c r="F84" s="198"/>
      <c r="G84" s="198"/>
      <c r="H84" s="198">
        <f t="shared" si="28"/>
        <v>0</v>
      </c>
      <c r="I84" s="198">
        <f t="shared" si="20"/>
        <v>25120949.980072461</v>
      </c>
      <c r="J84" s="198">
        <f t="shared" si="24"/>
        <v>0</v>
      </c>
      <c r="K84" s="198">
        <f t="shared" si="25"/>
        <v>0</v>
      </c>
      <c r="L84" s="198">
        <f t="shared" si="26"/>
        <v>0</v>
      </c>
    </row>
    <row r="85" spans="1:12">
      <c r="A85" s="200">
        <v>74</v>
      </c>
      <c r="B85" s="198">
        <f t="shared" si="21"/>
        <v>0</v>
      </c>
      <c r="C85" s="198">
        <f t="shared" si="22"/>
        <v>0</v>
      </c>
      <c r="D85" s="198">
        <f t="shared" si="23"/>
        <v>0</v>
      </c>
      <c r="E85" s="198">
        <f t="shared" si="27"/>
        <v>0</v>
      </c>
      <c r="F85" s="198"/>
      <c r="G85" s="198"/>
      <c r="H85" s="198">
        <f t="shared" si="28"/>
        <v>0</v>
      </c>
      <c r="I85" s="198">
        <f t="shared" si="20"/>
        <v>25120949.980072461</v>
      </c>
      <c r="J85" s="198">
        <f t="shared" si="24"/>
        <v>0</v>
      </c>
      <c r="K85" s="198">
        <f t="shared" si="25"/>
        <v>0</v>
      </c>
      <c r="L85" s="198">
        <f t="shared" si="26"/>
        <v>0</v>
      </c>
    </row>
    <row r="86" spans="1:12">
      <c r="A86" s="200">
        <v>75</v>
      </c>
      <c r="B86" s="198">
        <f t="shared" si="21"/>
        <v>0</v>
      </c>
      <c r="C86" s="198">
        <f t="shared" si="22"/>
        <v>0</v>
      </c>
      <c r="D86" s="198">
        <f t="shared" si="23"/>
        <v>0</v>
      </c>
      <c r="E86" s="198">
        <f t="shared" si="27"/>
        <v>0</v>
      </c>
      <c r="F86" s="198"/>
      <c r="G86" s="198"/>
      <c r="H86" s="198">
        <f t="shared" si="28"/>
        <v>0</v>
      </c>
      <c r="I86" s="198">
        <f t="shared" si="20"/>
        <v>25120949.980072461</v>
      </c>
      <c r="J86" s="198">
        <f t="shared" si="24"/>
        <v>0</v>
      </c>
      <c r="K86" s="198">
        <f t="shared" si="25"/>
        <v>0</v>
      </c>
      <c r="L86" s="198">
        <f t="shared" si="26"/>
        <v>0</v>
      </c>
    </row>
    <row r="87" spans="1:12">
      <c r="A87" s="200">
        <v>76</v>
      </c>
      <c r="B87" s="198">
        <f t="shared" si="21"/>
        <v>0</v>
      </c>
      <c r="C87" s="198">
        <f t="shared" si="22"/>
        <v>0</v>
      </c>
      <c r="D87" s="198">
        <f t="shared" si="23"/>
        <v>0</v>
      </c>
      <c r="E87" s="198">
        <f t="shared" si="27"/>
        <v>0</v>
      </c>
      <c r="F87" s="198"/>
      <c r="G87" s="198"/>
      <c r="H87" s="198">
        <f t="shared" si="28"/>
        <v>0</v>
      </c>
      <c r="I87" s="198">
        <f t="shared" si="20"/>
        <v>25120949.980072461</v>
      </c>
      <c r="J87" s="198">
        <f t="shared" si="24"/>
        <v>0</v>
      </c>
      <c r="K87" s="198">
        <f t="shared" si="25"/>
        <v>0</v>
      </c>
      <c r="L87" s="198">
        <f t="shared" si="26"/>
        <v>0</v>
      </c>
    </row>
    <row r="88" spans="1:12">
      <c r="A88" s="200">
        <v>77</v>
      </c>
      <c r="B88" s="198">
        <f t="shared" si="21"/>
        <v>0</v>
      </c>
      <c r="C88" s="198">
        <f t="shared" si="22"/>
        <v>0</v>
      </c>
      <c r="D88" s="198">
        <f t="shared" si="23"/>
        <v>0</v>
      </c>
      <c r="E88" s="198">
        <f t="shared" si="27"/>
        <v>0</v>
      </c>
      <c r="F88" s="198"/>
      <c r="G88" s="198"/>
      <c r="H88" s="198">
        <f t="shared" si="28"/>
        <v>0</v>
      </c>
      <c r="I88" s="198">
        <f t="shared" ref="I88:I119" si="29">I87-G88</f>
        <v>25120949.980072461</v>
      </c>
      <c r="J88" s="198">
        <f t="shared" si="24"/>
        <v>0</v>
      </c>
      <c r="K88" s="198">
        <f t="shared" si="25"/>
        <v>0</v>
      </c>
      <c r="L88" s="198">
        <f t="shared" si="26"/>
        <v>0</v>
      </c>
    </row>
    <row r="89" spans="1:12">
      <c r="A89" s="200">
        <v>78</v>
      </c>
      <c r="B89" s="198">
        <f t="shared" si="21"/>
        <v>0</v>
      </c>
      <c r="C89" s="198">
        <f t="shared" si="22"/>
        <v>0</v>
      </c>
      <c r="D89" s="198">
        <f t="shared" si="23"/>
        <v>0</v>
      </c>
      <c r="E89" s="198">
        <f t="shared" si="27"/>
        <v>0</v>
      </c>
      <c r="F89" s="198"/>
      <c r="G89" s="198"/>
      <c r="H89" s="198">
        <f t="shared" si="28"/>
        <v>0</v>
      </c>
      <c r="I89" s="198">
        <f t="shared" si="29"/>
        <v>25120949.980072461</v>
      </c>
      <c r="J89" s="198">
        <f t="shared" si="24"/>
        <v>0</v>
      </c>
      <c r="K89" s="198">
        <f t="shared" si="25"/>
        <v>0</v>
      </c>
      <c r="L89" s="198">
        <f t="shared" si="26"/>
        <v>0</v>
      </c>
    </row>
    <row r="90" spans="1:12">
      <c r="A90" s="200">
        <v>79</v>
      </c>
      <c r="B90" s="198">
        <f t="shared" si="21"/>
        <v>0</v>
      </c>
      <c r="C90" s="198">
        <f t="shared" si="22"/>
        <v>0</v>
      </c>
      <c r="D90" s="198">
        <f t="shared" si="23"/>
        <v>0</v>
      </c>
      <c r="E90" s="198">
        <f t="shared" si="27"/>
        <v>0</v>
      </c>
      <c r="F90" s="198"/>
      <c r="G90" s="198"/>
      <c r="H90" s="198">
        <f t="shared" si="28"/>
        <v>0</v>
      </c>
      <c r="I90" s="198">
        <f t="shared" si="29"/>
        <v>25120949.980072461</v>
      </c>
      <c r="J90" s="198">
        <f t="shared" si="24"/>
        <v>0</v>
      </c>
      <c r="K90" s="198">
        <f t="shared" si="25"/>
        <v>0</v>
      </c>
      <c r="L90" s="198">
        <f t="shared" si="26"/>
        <v>0</v>
      </c>
    </row>
    <row r="91" spans="1:12">
      <c r="A91" s="200">
        <v>80</v>
      </c>
      <c r="B91" s="198">
        <f t="shared" si="21"/>
        <v>0</v>
      </c>
      <c r="C91" s="198">
        <f t="shared" si="22"/>
        <v>0</v>
      </c>
      <c r="D91" s="198">
        <f t="shared" si="23"/>
        <v>0</v>
      </c>
      <c r="E91" s="198">
        <f t="shared" si="27"/>
        <v>0</v>
      </c>
      <c r="F91" s="198"/>
      <c r="G91" s="198"/>
      <c r="H91" s="198">
        <f t="shared" si="28"/>
        <v>0</v>
      </c>
      <c r="I91" s="198">
        <f t="shared" si="29"/>
        <v>25120949.980072461</v>
      </c>
      <c r="J91" s="198">
        <f t="shared" si="24"/>
        <v>0</v>
      </c>
      <c r="K91" s="198">
        <f t="shared" si="25"/>
        <v>0</v>
      </c>
      <c r="L91" s="198">
        <f t="shared" si="26"/>
        <v>0</v>
      </c>
    </row>
    <row r="92" spans="1:12">
      <c r="A92" s="200">
        <v>81</v>
      </c>
      <c r="B92" s="198">
        <f t="shared" si="21"/>
        <v>0</v>
      </c>
      <c r="C92" s="198">
        <f t="shared" si="22"/>
        <v>0</v>
      </c>
      <c r="D92" s="198">
        <f t="shared" si="23"/>
        <v>0</v>
      </c>
      <c r="E92" s="198">
        <f t="shared" si="27"/>
        <v>0</v>
      </c>
      <c r="F92" s="198"/>
      <c r="G92" s="198"/>
      <c r="H92" s="198">
        <f t="shared" si="28"/>
        <v>0</v>
      </c>
      <c r="I92" s="198">
        <f t="shared" si="29"/>
        <v>25120949.980072461</v>
      </c>
      <c r="J92" s="198">
        <f t="shared" si="24"/>
        <v>0</v>
      </c>
      <c r="K92" s="198">
        <f t="shared" si="25"/>
        <v>0</v>
      </c>
      <c r="L92" s="198">
        <f t="shared" si="26"/>
        <v>0</v>
      </c>
    </row>
    <row r="93" spans="1:12">
      <c r="A93" s="200">
        <v>82</v>
      </c>
      <c r="B93" s="198">
        <f t="shared" si="21"/>
        <v>0</v>
      </c>
      <c r="C93" s="198">
        <f t="shared" si="22"/>
        <v>0</v>
      </c>
      <c r="D93" s="198">
        <f t="shared" si="23"/>
        <v>0</v>
      </c>
      <c r="E93" s="198">
        <f t="shared" si="27"/>
        <v>0</v>
      </c>
      <c r="F93" s="198"/>
      <c r="G93" s="198"/>
      <c r="H93" s="198">
        <f t="shared" si="28"/>
        <v>0</v>
      </c>
      <c r="I93" s="198">
        <f t="shared" si="29"/>
        <v>25120949.980072461</v>
      </c>
      <c r="J93" s="198">
        <f t="shared" si="24"/>
        <v>0</v>
      </c>
      <c r="K93" s="198">
        <f t="shared" si="25"/>
        <v>0</v>
      </c>
      <c r="L93" s="198">
        <f t="shared" si="26"/>
        <v>0</v>
      </c>
    </row>
    <row r="94" spans="1:12">
      <c r="A94" s="200">
        <v>83</v>
      </c>
      <c r="B94" s="198">
        <f t="shared" si="21"/>
        <v>0</v>
      </c>
      <c r="C94" s="198">
        <f t="shared" si="22"/>
        <v>0</v>
      </c>
      <c r="D94" s="198">
        <f t="shared" si="23"/>
        <v>0</v>
      </c>
      <c r="E94" s="198">
        <f t="shared" si="27"/>
        <v>0</v>
      </c>
      <c r="F94" s="198"/>
      <c r="G94" s="198"/>
      <c r="H94" s="198">
        <f t="shared" si="28"/>
        <v>0</v>
      </c>
      <c r="I94" s="198">
        <f t="shared" si="29"/>
        <v>25120949.980072461</v>
      </c>
      <c r="J94" s="198">
        <f t="shared" si="24"/>
        <v>0</v>
      </c>
      <c r="K94" s="198">
        <f t="shared" si="25"/>
        <v>0</v>
      </c>
      <c r="L94" s="198">
        <f t="shared" si="26"/>
        <v>0</v>
      </c>
    </row>
    <row r="95" spans="1:12">
      <c r="A95" s="200">
        <v>84</v>
      </c>
      <c r="B95" s="198">
        <f t="shared" si="21"/>
        <v>0</v>
      </c>
      <c r="C95" s="198">
        <f t="shared" si="22"/>
        <v>0</v>
      </c>
      <c r="D95" s="198">
        <f t="shared" si="23"/>
        <v>0</v>
      </c>
      <c r="E95" s="198">
        <f t="shared" si="27"/>
        <v>0</v>
      </c>
      <c r="F95" s="198"/>
      <c r="G95" s="198"/>
      <c r="H95" s="198">
        <f t="shared" si="28"/>
        <v>0</v>
      </c>
      <c r="I95" s="198">
        <f t="shared" si="29"/>
        <v>25120949.980072461</v>
      </c>
      <c r="J95" s="198">
        <f t="shared" si="24"/>
        <v>0</v>
      </c>
      <c r="K95" s="198">
        <f t="shared" si="25"/>
        <v>0</v>
      </c>
      <c r="L95" s="198">
        <f t="shared" si="26"/>
        <v>0</v>
      </c>
    </row>
    <row r="96" spans="1:12">
      <c r="A96" s="200">
        <v>85</v>
      </c>
      <c r="B96" s="198">
        <f t="shared" si="21"/>
        <v>0</v>
      </c>
      <c r="C96" s="198">
        <f t="shared" si="22"/>
        <v>0</v>
      </c>
      <c r="D96" s="198">
        <f t="shared" si="23"/>
        <v>0</v>
      </c>
      <c r="E96" s="198">
        <f t="shared" si="27"/>
        <v>0</v>
      </c>
      <c r="F96" s="198"/>
      <c r="G96" s="198"/>
      <c r="H96" s="198">
        <f t="shared" si="28"/>
        <v>0</v>
      </c>
      <c r="I96" s="198">
        <f t="shared" si="29"/>
        <v>25120949.980072461</v>
      </c>
      <c r="J96" s="198">
        <f t="shared" si="24"/>
        <v>0</v>
      </c>
      <c r="K96" s="198">
        <f t="shared" si="25"/>
        <v>0</v>
      </c>
      <c r="L96" s="198">
        <f t="shared" si="26"/>
        <v>0</v>
      </c>
    </row>
    <row r="97" spans="1:12">
      <c r="A97" s="200">
        <v>86</v>
      </c>
      <c r="B97" s="198">
        <f t="shared" si="21"/>
        <v>0</v>
      </c>
      <c r="C97" s="198">
        <f t="shared" si="22"/>
        <v>0</v>
      </c>
      <c r="D97" s="198">
        <f t="shared" si="23"/>
        <v>0</v>
      </c>
      <c r="E97" s="198">
        <f t="shared" si="27"/>
        <v>0</v>
      </c>
      <c r="F97" s="198"/>
      <c r="G97" s="198"/>
      <c r="H97" s="198">
        <f t="shared" si="28"/>
        <v>0</v>
      </c>
      <c r="I97" s="198">
        <f t="shared" si="29"/>
        <v>25120949.980072461</v>
      </c>
      <c r="J97" s="198">
        <f t="shared" si="24"/>
        <v>0</v>
      </c>
      <c r="K97" s="198">
        <f t="shared" si="25"/>
        <v>0</v>
      </c>
      <c r="L97" s="198">
        <f t="shared" si="26"/>
        <v>0</v>
      </c>
    </row>
    <row r="98" spans="1:12">
      <c r="A98" s="200">
        <v>87</v>
      </c>
      <c r="B98" s="198">
        <f t="shared" si="21"/>
        <v>0</v>
      </c>
      <c r="C98" s="198">
        <f t="shared" si="22"/>
        <v>0</v>
      </c>
      <c r="D98" s="198">
        <f t="shared" si="23"/>
        <v>0</v>
      </c>
      <c r="E98" s="198">
        <f t="shared" si="27"/>
        <v>0</v>
      </c>
      <c r="F98" s="198"/>
      <c r="G98" s="198"/>
      <c r="H98" s="198">
        <f t="shared" si="28"/>
        <v>0</v>
      </c>
      <c r="I98" s="198">
        <f t="shared" si="29"/>
        <v>25120949.980072461</v>
      </c>
      <c r="J98" s="198">
        <f t="shared" si="24"/>
        <v>0</v>
      </c>
      <c r="K98" s="198">
        <f t="shared" si="25"/>
        <v>0</v>
      </c>
      <c r="L98" s="198">
        <f t="shared" si="26"/>
        <v>0</v>
      </c>
    </row>
    <row r="99" spans="1:12">
      <c r="A99" s="200">
        <v>88</v>
      </c>
      <c r="B99" s="198">
        <f t="shared" si="21"/>
        <v>0</v>
      </c>
      <c r="C99" s="198">
        <f t="shared" si="22"/>
        <v>0</v>
      </c>
      <c r="D99" s="198">
        <f t="shared" si="23"/>
        <v>0</v>
      </c>
      <c r="E99" s="198">
        <f t="shared" si="27"/>
        <v>0</v>
      </c>
      <c r="F99" s="198"/>
      <c r="G99" s="198"/>
      <c r="H99" s="198">
        <f t="shared" si="28"/>
        <v>0</v>
      </c>
      <c r="I99" s="198">
        <f t="shared" si="29"/>
        <v>25120949.980072461</v>
      </c>
      <c r="J99" s="198">
        <f t="shared" si="24"/>
        <v>0</v>
      </c>
      <c r="K99" s="198">
        <f t="shared" si="25"/>
        <v>0</v>
      </c>
      <c r="L99" s="198">
        <f t="shared" si="26"/>
        <v>0</v>
      </c>
    </row>
    <row r="100" spans="1:12">
      <c r="A100" s="200">
        <v>89</v>
      </c>
      <c r="B100" s="198">
        <f t="shared" ref="B100:B132" si="30">E99*($G$3/12)</f>
        <v>0</v>
      </c>
      <c r="C100" s="198">
        <f t="shared" ref="C100:C131" si="31">$E$11/96</f>
        <v>0</v>
      </c>
      <c r="D100" s="198">
        <f t="shared" si="23"/>
        <v>0</v>
      </c>
      <c r="E100" s="198">
        <f t="shared" si="27"/>
        <v>0</v>
      </c>
      <c r="F100" s="198"/>
      <c r="G100" s="198"/>
      <c r="H100" s="198">
        <f t="shared" si="28"/>
        <v>0</v>
      </c>
      <c r="I100" s="198">
        <f t="shared" si="29"/>
        <v>25120949.980072461</v>
      </c>
      <c r="J100" s="198">
        <f t="shared" si="24"/>
        <v>0</v>
      </c>
      <c r="K100" s="198">
        <f t="shared" si="25"/>
        <v>0</v>
      </c>
      <c r="L100" s="198">
        <f t="shared" si="26"/>
        <v>0</v>
      </c>
    </row>
    <row r="101" spans="1:12">
      <c r="A101" s="200">
        <v>90</v>
      </c>
      <c r="B101" s="198">
        <f t="shared" si="30"/>
        <v>0</v>
      </c>
      <c r="C101" s="198">
        <f t="shared" si="31"/>
        <v>0</v>
      </c>
      <c r="D101" s="198">
        <f t="shared" si="23"/>
        <v>0</v>
      </c>
      <c r="E101" s="198">
        <f t="shared" si="27"/>
        <v>0</v>
      </c>
      <c r="F101" s="198"/>
      <c r="G101" s="198"/>
      <c r="H101" s="198">
        <f t="shared" si="28"/>
        <v>0</v>
      </c>
      <c r="I101" s="198">
        <f t="shared" si="29"/>
        <v>25120949.980072461</v>
      </c>
      <c r="J101" s="198">
        <f t="shared" si="24"/>
        <v>0</v>
      </c>
      <c r="K101" s="198">
        <f t="shared" si="25"/>
        <v>0</v>
      </c>
      <c r="L101" s="198">
        <f t="shared" si="26"/>
        <v>0</v>
      </c>
    </row>
    <row r="102" spans="1:12">
      <c r="A102" s="200">
        <v>91</v>
      </c>
      <c r="B102" s="198">
        <f t="shared" si="30"/>
        <v>0</v>
      </c>
      <c r="C102" s="198">
        <f t="shared" si="31"/>
        <v>0</v>
      </c>
      <c r="D102" s="198">
        <f t="shared" si="23"/>
        <v>0</v>
      </c>
      <c r="E102" s="198">
        <f t="shared" si="27"/>
        <v>0</v>
      </c>
      <c r="F102" s="198"/>
      <c r="G102" s="198"/>
      <c r="H102" s="198">
        <f t="shared" si="28"/>
        <v>0</v>
      </c>
      <c r="I102" s="198">
        <f t="shared" si="29"/>
        <v>25120949.980072461</v>
      </c>
      <c r="J102" s="198">
        <f t="shared" si="24"/>
        <v>0</v>
      </c>
      <c r="K102" s="198">
        <f t="shared" si="25"/>
        <v>0</v>
      </c>
      <c r="L102" s="198">
        <f t="shared" si="26"/>
        <v>0</v>
      </c>
    </row>
    <row r="103" spans="1:12">
      <c r="A103" s="200">
        <v>92</v>
      </c>
      <c r="B103" s="198">
        <f t="shared" si="30"/>
        <v>0</v>
      </c>
      <c r="C103" s="198">
        <f t="shared" si="31"/>
        <v>0</v>
      </c>
      <c r="D103" s="198">
        <f t="shared" si="23"/>
        <v>0</v>
      </c>
      <c r="E103" s="198">
        <f t="shared" si="27"/>
        <v>0</v>
      </c>
      <c r="F103" s="198"/>
      <c r="G103" s="198"/>
      <c r="H103" s="198">
        <f t="shared" si="28"/>
        <v>0</v>
      </c>
      <c r="I103" s="198">
        <f t="shared" si="29"/>
        <v>25120949.980072461</v>
      </c>
      <c r="J103" s="198">
        <f t="shared" si="24"/>
        <v>0</v>
      </c>
      <c r="K103" s="198">
        <f t="shared" si="25"/>
        <v>0</v>
      </c>
      <c r="L103" s="198">
        <f t="shared" si="26"/>
        <v>0</v>
      </c>
    </row>
    <row r="104" spans="1:12">
      <c r="A104" s="200">
        <v>93</v>
      </c>
      <c r="B104" s="198">
        <f t="shared" si="30"/>
        <v>0</v>
      </c>
      <c r="C104" s="198">
        <f t="shared" si="31"/>
        <v>0</v>
      </c>
      <c r="D104" s="198">
        <f t="shared" si="23"/>
        <v>0</v>
      </c>
      <c r="E104" s="198">
        <f t="shared" si="27"/>
        <v>0</v>
      </c>
      <c r="F104" s="198"/>
      <c r="G104" s="198"/>
      <c r="H104" s="198">
        <f t="shared" si="28"/>
        <v>0</v>
      </c>
      <c r="I104" s="198">
        <f t="shared" si="29"/>
        <v>25120949.980072461</v>
      </c>
      <c r="J104" s="198">
        <f t="shared" si="24"/>
        <v>0</v>
      </c>
      <c r="K104" s="198">
        <f t="shared" si="25"/>
        <v>0</v>
      </c>
      <c r="L104" s="198">
        <f t="shared" si="26"/>
        <v>0</v>
      </c>
    </row>
    <row r="105" spans="1:12">
      <c r="A105" s="200">
        <v>94</v>
      </c>
      <c r="B105" s="198">
        <f t="shared" si="30"/>
        <v>0</v>
      </c>
      <c r="C105" s="198">
        <f t="shared" si="31"/>
        <v>0</v>
      </c>
      <c r="D105" s="198">
        <f t="shared" si="23"/>
        <v>0</v>
      </c>
      <c r="E105" s="198">
        <f t="shared" si="27"/>
        <v>0</v>
      </c>
      <c r="F105" s="198"/>
      <c r="G105" s="198"/>
      <c r="H105" s="198">
        <f t="shared" si="28"/>
        <v>0</v>
      </c>
      <c r="I105" s="198">
        <f t="shared" si="29"/>
        <v>25120949.980072461</v>
      </c>
      <c r="J105" s="198">
        <f t="shared" si="24"/>
        <v>0</v>
      </c>
      <c r="K105" s="198">
        <f t="shared" si="25"/>
        <v>0</v>
      </c>
      <c r="L105" s="198">
        <f t="shared" si="26"/>
        <v>0</v>
      </c>
    </row>
    <row r="106" spans="1:12">
      <c r="A106" s="200">
        <v>95</v>
      </c>
      <c r="B106" s="198">
        <f t="shared" si="30"/>
        <v>0</v>
      </c>
      <c r="C106" s="198">
        <f t="shared" si="31"/>
        <v>0</v>
      </c>
      <c r="D106" s="198">
        <f t="shared" si="23"/>
        <v>0</v>
      </c>
      <c r="E106" s="198">
        <f t="shared" si="27"/>
        <v>0</v>
      </c>
      <c r="F106" s="198"/>
      <c r="G106" s="198"/>
      <c r="H106" s="198">
        <f t="shared" si="28"/>
        <v>0</v>
      </c>
      <c r="I106" s="198">
        <f t="shared" si="29"/>
        <v>25120949.980072461</v>
      </c>
      <c r="J106" s="198">
        <f t="shared" si="24"/>
        <v>0</v>
      </c>
      <c r="K106" s="198">
        <f t="shared" si="25"/>
        <v>0</v>
      </c>
      <c r="L106" s="198">
        <f t="shared" si="26"/>
        <v>0</v>
      </c>
    </row>
    <row r="107" spans="1:12">
      <c r="A107" s="200">
        <v>96</v>
      </c>
      <c r="B107" s="198">
        <f t="shared" si="30"/>
        <v>0</v>
      </c>
      <c r="C107" s="198">
        <f t="shared" si="31"/>
        <v>0</v>
      </c>
      <c r="D107" s="198">
        <f t="shared" ref="D107:D138" si="32">B107+C107</f>
        <v>0</v>
      </c>
      <c r="E107" s="198">
        <f t="shared" si="27"/>
        <v>0</v>
      </c>
      <c r="F107" s="198"/>
      <c r="G107" s="198"/>
      <c r="H107" s="198">
        <f t="shared" si="28"/>
        <v>0</v>
      </c>
      <c r="I107" s="198">
        <f t="shared" si="29"/>
        <v>25120949.980072461</v>
      </c>
      <c r="J107" s="198">
        <f t="shared" ref="J107:J143" si="33">D107+H107</f>
        <v>0</v>
      </c>
      <c r="K107" s="198">
        <f t="shared" ref="K107:K143" si="34">B107+F107</f>
        <v>0</v>
      </c>
      <c r="L107" s="198">
        <f t="shared" ref="L107:L143" si="35">C107+G107</f>
        <v>0</v>
      </c>
    </row>
    <row r="108" spans="1:12">
      <c r="A108" s="200">
        <v>97</v>
      </c>
      <c r="B108" s="198">
        <f t="shared" si="30"/>
        <v>0</v>
      </c>
      <c r="C108" s="198">
        <f t="shared" si="31"/>
        <v>0</v>
      </c>
      <c r="D108" s="198">
        <f t="shared" si="32"/>
        <v>0</v>
      </c>
      <c r="E108" s="198">
        <f t="shared" ref="E108:E143" si="36">E107-C108</f>
        <v>0</v>
      </c>
      <c r="F108" s="198"/>
      <c r="G108" s="198"/>
      <c r="H108" s="198">
        <f t="shared" ref="H108:H139" si="37">F108+G108</f>
        <v>0</v>
      </c>
      <c r="I108" s="198">
        <f t="shared" si="29"/>
        <v>25120949.980072461</v>
      </c>
      <c r="J108" s="198">
        <f t="shared" si="33"/>
        <v>0</v>
      </c>
      <c r="K108" s="198">
        <f t="shared" si="34"/>
        <v>0</v>
      </c>
      <c r="L108" s="198">
        <f t="shared" si="35"/>
        <v>0</v>
      </c>
    </row>
    <row r="109" spans="1:12">
      <c r="A109" s="200">
        <v>98</v>
      </c>
      <c r="B109" s="198">
        <f t="shared" si="30"/>
        <v>0</v>
      </c>
      <c r="C109" s="198">
        <f t="shared" si="31"/>
        <v>0</v>
      </c>
      <c r="D109" s="198">
        <f t="shared" si="32"/>
        <v>0</v>
      </c>
      <c r="E109" s="198">
        <f t="shared" si="36"/>
        <v>0</v>
      </c>
      <c r="F109" s="198"/>
      <c r="G109" s="198"/>
      <c r="H109" s="198">
        <f t="shared" si="37"/>
        <v>0</v>
      </c>
      <c r="I109" s="198">
        <f t="shared" si="29"/>
        <v>25120949.980072461</v>
      </c>
      <c r="J109" s="198">
        <f t="shared" si="33"/>
        <v>0</v>
      </c>
      <c r="K109" s="198">
        <f t="shared" si="34"/>
        <v>0</v>
      </c>
      <c r="L109" s="198">
        <f t="shared" si="35"/>
        <v>0</v>
      </c>
    </row>
    <row r="110" spans="1:12">
      <c r="A110" s="200">
        <v>99</v>
      </c>
      <c r="B110" s="198">
        <f t="shared" si="30"/>
        <v>0</v>
      </c>
      <c r="C110" s="198">
        <f t="shared" si="31"/>
        <v>0</v>
      </c>
      <c r="D110" s="198">
        <f t="shared" si="32"/>
        <v>0</v>
      </c>
      <c r="E110" s="198">
        <f t="shared" si="36"/>
        <v>0</v>
      </c>
      <c r="F110" s="198"/>
      <c r="G110" s="198"/>
      <c r="H110" s="198">
        <f t="shared" si="37"/>
        <v>0</v>
      </c>
      <c r="I110" s="198">
        <f t="shared" si="29"/>
        <v>25120949.980072461</v>
      </c>
      <c r="J110" s="198">
        <f t="shared" si="33"/>
        <v>0</v>
      </c>
      <c r="K110" s="198">
        <f t="shared" si="34"/>
        <v>0</v>
      </c>
      <c r="L110" s="198">
        <f t="shared" si="35"/>
        <v>0</v>
      </c>
    </row>
    <row r="111" spans="1:12">
      <c r="A111" s="200">
        <v>100</v>
      </c>
      <c r="B111" s="198">
        <f t="shared" si="30"/>
        <v>0</v>
      </c>
      <c r="C111" s="198">
        <f t="shared" si="31"/>
        <v>0</v>
      </c>
      <c r="D111" s="198">
        <f t="shared" si="32"/>
        <v>0</v>
      </c>
      <c r="E111" s="198">
        <f t="shared" si="36"/>
        <v>0</v>
      </c>
      <c r="F111" s="198"/>
      <c r="G111" s="198"/>
      <c r="H111" s="198">
        <f t="shared" si="37"/>
        <v>0</v>
      </c>
      <c r="I111" s="198">
        <f t="shared" si="29"/>
        <v>25120949.980072461</v>
      </c>
      <c r="J111" s="198">
        <f t="shared" si="33"/>
        <v>0</v>
      </c>
      <c r="K111" s="198">
        <f t="shared" si="34"/>
        <v>0</v>
      </c>
      <c r="L111" s="198">
        <f t="shared" si="35"/>
        <v>0</v>
      </c>
    </row>
    <row r="112" spans="1:12">
      <c r="A112" s="200">
        <v>101</v>
      </c>
      <c r="B112" s="198">
        <f t="shared" si="30"/>
        <v>0</v>
      </c>
      <c r="C112" s="198">
        <f t="shared" si="31"/>
        <v>0</v>
      </c>
      <c r="D112" s="198">
        <f t="shared" si="32"/>
        <v>0</v>
      </c>
      <c r="E112" s="198">
        <f t="shared" si="36"/>
        <v>0</v>
      </c>
      <c r="F112" s="198"/>
      <c r="G112" s="198"/>
      <c r="H112" s="198">
        <f t="shared" si="37"/>
        <v>0</v>
      </c>
      <c r="I112" s="198">
        <f t="shared" si="29"/>
        <v>25120949.980072461</v>
      </c>
      <c r="J112" s="198">
        <f t="shared" si="33"/>
        <v>0</v>
      </c>
      <c r="K112" s="198">
        <f t="shared" si="34"/>
        <v>0</v>
      </c>
      <c r="L112" s="198">
        <f t="shared" si="35"/>
        <v>0</v>
      </c>
    </row>
    <row r="113" spans="1:12">
      <c r="A113" s="200">
        <v>102</v>
      </c>
      <c r="B113" s="198">
        <f t="shared" si="30"/>
        <v>0</v>
      </c>
      <c r="C113" s="198">
        <f t="shared" si="31"/>
        <v>0</v>
      </c>
      <c r="D113" s="198">
        <f t="shared" si="32"/>
        <v>0</v>
      </c>
      <c r="E113" s="198">
        <f t="shared" si="36"/>
        <v>0</v>
      </c>
      <c r="F113" s="198"/>
      <c r="G113" s="198"/>
      <c r="H113" s="198">
        <f t="shared" si="37"/>
        <v>0</v>
      </c>
      <c r="I113" s="198">
        <f t="shared" si="29"/>
        <v>25120949.980072461</v>
      </c>
      <c r="J113" s="198">
        <f t="shared" si="33"/>
        <v>0</v>
      </c>
      <c r="K113" s="198">
        <f t="shared" si="34"/>
        <v>0</v>
      </c>
      <c r="L113" s="198">
        <f t="shared" si="35"/>
        <v>0</v>
      </c>
    </row>
    <row r="114" spans="1:12">
      <c r="A114" s="200">
        <v>103</v>
      </c>
      <c r="B114" s="198">
        <f t="shared" si="30"/>
        <v>0</v>
      </c>
      <c r="C114" s="198">
        <f t="shared" si="31"/>
        <v>0</v>
      </c>
      <c r="D114" s="198">
        <f t="shared" si="32"/>
        <v>0</v>
      </c>
      <c r="E114" s="198">
        <f t="shared" si="36"/>
        <v>0</v>
      </c>
      <c r="F114" s="198"/>
      <c r="G114" s="198"/>
      <c r="H114" s="198">
        <f t="shared" si="37"/>
        <v>0</v>
      </c>
      <c r="I114" s="198">
        <f t="shared" si="29"/>
        <v>25120949.980072461</v>
      </c>
      <c r="J114" s="198">
        <f t="shared" si="33"/>
        <v>0</v>
      </c>
      <c r="K114" s="198">
        <f t="shared" si="34"/>
        <v>0</v>
      </c>
      <c r="L114" s="198">
        <f t="shared" si="35"/>
        <v>0</v>
      </c>
    </row>
    <row r="115" spans="1:12">
      <c r="A115" s="200">
        <v>104</v>
      </c>
      <c r="B115" s="198">
        <f t="shared" si="30"/>
        <v>0</v>
      </c>
      <c r="C115" s="198">
        <f t="shared" si="31"/>
        <v>0</v>
      </c>
      <c r="D115" s="198">
        <f t="shared" si="32"/>
        <v>0</v>
      </c>
      <c r="E115" s="198">
        <f t="shared" si="36"/>
        <v>0</v>
      </c>
      <c r="F115" s="198"/>
      <c r="G115" s="198"/>
      <c r="H115" s="198">
        <f t="shared" si="37"/>
        <v>0</v>
      </c>
      <c r="I115" s="198">
        <f t="shared" si="29"/>
        <v>25120949.980072461</v>
      </c>
      <c r="J115" s="198">
        <f t="shared" si="33"/>
        <v>0</v>
      </c>
      <c r="K115" s="198">
        <f t="shared" si="34"/>
        <v>0</v>
      </c>
      <c r="L115" s="198">
        <f t="shared" si="35"/>
        <v>0</v>
      </c>
    </row>
    <row r="116" spans="1:12">
      <c r="A116" s="200">
        <v>105</v>
      </c>
      <c r="B116" s="198">
        <f t="shared" si="30"/>
        <v>0</v>
      </c>
      <c r="C116" s="198">
        <f t="shared" si="31"/>
        <v>0</v>
      </c>
      <c r="D116" s="198">
        <f t="shared" si="32"/>
        <v>0</v>
      </c>
      <c r="E116" s="198">
        <f t="shared" si="36"/>
        <v>0</v>
      </c>
      <c r="F116" s="198"/>
      <c r="G116" s="198"/>
      <c r="H116" s="198">
        <f t="shared" si="37"/>
        <v>0</v>
      </c>
      <c r="I116" s="198">
        <f t="shared" si="29"/>
        <v>25120949.980072461</v>
      </c>
      <c r="J116" s="198">
        <f t="shared" si="33"/>
        <v>0</v>
      </c>
      <c r="K116" s="198">
        <f t="shared" si="34"/>
        <v>0</v>
      </c>
      <c r="L116" s="198">
        <f t="shared" si="35"/>
        <v>0</v>
      </c>
    </row>
    <row r="117" spans="1:12">
      <c r="A117" s="200">
        <v>106</v>
      </c>
      <c r="B117" s="198">
        <f t="shared" si="30"/>
        <v>0</v>
      </c>
      <c r="C117" s="198">
        <f t="shared" si="31"/>
        <v>0</v>
      </c>
      <c r="D117" s="198">
        <f t="shared" si="32"/>
        <v>0</v>
      </c>
      <c r="E117" s="198">
        <f t="shared" si="36"/>
        <v>0</v>
      </c>
      <c r="F117" s="198"/>
      <c r="G117" s="198"/>
      <c r="H117" s="198">
        <f t="shared" si="37"/>
        <v>0</v>
      </c>
      <c r="I117" s="198">
        <f t="shared" si="29"/>
        <v>25120949.980072461</v>
      </c>
      <c r="J117" s="198">
        <f t="shared" si="33"/>
        <v>0</v>
      </c>
      <c r="K117" s="198">
        <f t="shared" si="34"/>
        <v>0</v>
      </c>
      <c r="L117" s="198">
        <f t="shared" si="35"/>
        <v>0</v>
      </c>
    </row>
    <row r="118" spans="1:12">
      <c r="A118" s="200">
        <v>107</v>
      </c>
      <c r="B118" s="198">
        <f t="shared" si="30"/>
        <v>0</v>
      </c>
      <c r="C118" s="198">
        <f t="shared" si="31"/>
        <v>0</v>
      </c>
      <c r="D118" s="198">
        <f t="shared" si="32"/>
        <v>0</v>
      </c>
      <c r="E118" s="198">
        <f t="shared" si="36"/>
        <v>0</v>
      </c>
      <c r="F118" s="198"/>
      <c r="G118" s="198"/>
      <c r="H118" s="198">
        <f t="shared" si="37"/>
        <v>0</v>
      </c>
      <c r="I118" s="198">
        <f t="shared" si="29"/>
        <v>25120949.980072461</v>
      </c>
      <c r="J118" s="198">
        <f t="shared" si="33"/>
        <v>0</v>
      </c>
      <c r="K118" s="198">
        <f t="shared" si="34"/>
        <v>0</v>
      </c>
      <c r="L118" s="198">
        <f t="shared" si="35"/>
        <v>0</v>
      </c>
    </row>
    <row r="119" spans="1:12">
      <c r="A119" s="200">
        <v>108</v>
      </c>
      <c r="B119" s="198">
        <f t="shared" si="30"/>
        <v>0</v>
      </c>
      <c r="C119" s="198">
        <f t="shared" si="31"/>
        <v>0</v>
      </c>
      <c r="D119" s="198">
        <f t="shared" si="32"/>
        <v>0</v>
      </c>
      <c r="E119" s="198">
        <f t="shared" si="36"/>
        <v>0</v>
      </c>
      <c r="F119" s="198"/>
      <c r="G119" s="198"/>
      <c r="H119" s="198">
        <f t="shared" si="37"/>
        <v>0</v>
      </c>
      <c r="I119" s="198">
        <f t="shared" si="29"/>
        <v>25120949.980072461</v>
      </c>
      <c r="J119" s="198">
        <f t="shared" si="33"/>
        <v>0</v>
      </c>
      <c r="K119" s="198">
        <f t="shared" si="34"/>
        <v>0</v>
      </c>
      <c r="L119" s="198">
        <f t="shared" si="35"/>
        <v>0</v>
      </c>
    </row>
    <row r="120" spans="1:12">
      <c r="A120" s="200">
        <v>109</v>
      </c>
      <c r="B120" s="198">
        <f t="shared" si="30"/>
        <v>0</v>
      </c>
      <c r="C120" s="198">
        <f t="shared" si="31"/>
        <v>0</v>
      </c>
      <c r="D120" s="198">
        <f t="shared" si="32"/>
        <v>0</v>
      </c>
      <c r="E120" s="198">
        <f t="shared" si="36"/>
        <v>0</v>
      </c>
      <c r="F120" s="198"/>
      <c r="G120" s="198"/>
      <c r="H120" s="198">
        <f t="shared" si="37"/>
        <v>0</v>
      </c>
      <c r="I120" s="198">
        <f t="shared" ref="I120:I143" si="38">I119-G120</f>
        <v>25120949.980072461</v>
      </c>
      <c r="J120" s="198">
        <f t="shared" si="33"/>
        <v>0</v>
      </c>
      <c r="K120" s="198">
        <f t="shared" si="34"/>
        <v>0</v>
      </c>
      <c r="L120" s="198">
        <f t="shared" si="35"/>
        <v>0</v>
      </c>
    </row>
    <row r="121" spans="1:12">
      <c r="A121" s="200">
        <v>110</v>
      </c>
      <c r="B121" s="198">
        <f t="shared" si="30"/>
        <v>0</v>
      </c>
      <c r="C121" s="198">
        <f t="shared" si="31"/>
        <v>0</v>
      </c>
      <c r="D121" s="198">
        <f t="shared" si="32"/>
        <v>0</v>
      </c>
      <c r="E121" s="198">
        <f t="shared" si="36"/>
        <v>0</v>
      </c>
      <c r="F121" s="198"/>
      <c r="G121" s="198"/>
      <c r="H121" s="198">
        <f t="shared" si="37"/>
        <v>0</v>
      </c>
      <c r="I121" s="198">
        <f t="shared" si="38"/>
        <v>25120949.980072461</v>
      </c>
      <c r="J121" s="198">
        <f t="shared" si="33"/>
        <v>0</v>
      </c>
      <c r="K121" s="198">
        <f t="shared" si="34"/>
        <v>0</v>
      </c>
      <c r="L121" s="198">
        <f t="shared" si="35"/>
        <v>0</v>
      </c>
    </row>
    <row r="122" spans="1:12">
      <c r="A122" s="200">
        <v>111</v>
      </c>
      <c r="B122" s="198">
        <f t="shared" si="30"/>
        <v>0</v>
      </c>
      <c r="C122" s="198">
        <f t="shared" si="31"/>
        <v>0</v>
      </c>
      <c r="D122" s="198">
        <f t="shared" si="32"/>
        <v>0</v>
      </c>
      <c r="E122" s="198">
        <f t="shared" si="36"/>
        <v>0</v>
      </c>
      <c r="F122" s="198"/>
      <c r="G122" s="198"/>
      <c r="H122" s="198">
        <f t="shared" si="37"/>
        <v>0</v>
      </c>
      <c r="I122" s="198">
        <f t="shared" si="38"/>
        <v>25120949.980072461</v>
      </c>
      <c r="J122" s="198">
        <f t="shared" si="33"/>
        <v>0</v>
      </c>
      <c r="K122" s="198">
        <f t="shared" si="34"/>
        <v>0</v>
      </c>
      <c r="L122" s="198">
        <f t="shared" si="35"/>
        <v>0</v>
      </c>
    </row>
    <row r="123" spans="1:12">
      <c r="A123" s="200">
        <v>112</v>
      </c>
      <c r="B123" s="198">
        <f t="shared" si="30"/>
        <v>0</v>
      </c>
      <c r="C123" s="198">
        <f t="shared" si="31"/>
        <v>0</v>
      </c>
      <c r="D123" s="198">
        <f t="shared" si="32"/>
        <v>0</v>
      </c>
      <c r="E123" s="198">
        <f t="shared" si="36"/>
        <v>0</v>
      </c>
      <c r="F123" s="198"/>
      <c r="G123" s="198"/>
      <c r="H123" s="198">
        <f t="shared" si="37"/>
        <v>0</v>
      </c>
      <c r="I123" s="198">
        <f t="shared" si="38"/>
        <v>25120949.980072461</v>
      </c>
      <c r="J123" s="198">
        <f t="shared" si="33"/>
        <v>0</v>
      </c>
      <c r="K123" s="198">
        <f t="shared" si="34"/>
        <v>0</v>
      </c>
      <c r="L123" s="198">
        <f t="shared" si="35"/>
        <v>0</v>
      </c>
    </row>
    <row r="124" spans="1:12">
      <c r="A124" s="200">
        <v>113</v>
      </c>
      <c r="B124" s="198">
        <f t="shared" si="30"/>
        <v>0</v>
      </c>
      <c r="C124" s="198">
        <f t="shared" si="31"/>
        <v>0</v>
      </c>
      <c r="D124" s="198">
        <f t="shared" si="32"/>
        <v>0</v>
      </c>
      <c r="E124" s="198">
        <f t="shared" si="36"/>
        <v>0</v>
      </c>
      <c r="F124" s="198"/>
      <c r="G124" s="198"/>
      <c r="H124" s="198">
        <f t="shared" si="37"/>
        <v>0</v>
      </c>
      <c r="I124" s="198">
        <f t="shared" si="38"/>
        <v>25120949.980072461</v>
      </c>
      <c r="J124" s="198">
        <f t="shared" si="33"/>
        <v>0</v>
      </c>
      <c r="K124" s="198">
        <f t="shared" si="34"/>
        <v>0</v>
      </c>
      <c r="L124" s="198">
        <f t="shared" si="35"/>
        <v>0</v>
      </c>
    </row>
    <row r="125" spans="1:12">
      <c r="A125" s="200">
        <v>114</v>
      </c>
      <c r="B125" s="198">
        <f t="shared" si="30"/>
        <v>0</v>
      </c>
      <c r="C125" s="198">
        <f t="shared" si="31"/>
        <v>0</v>
      </c>
      <c r="D125" s="198">
        <f t="shared" si="32"/>
        <v>0</v>
      </c>
      <c r="E125" s="198">
        <f t="shared" si="36"/>
        <v>0</v>
      </c>
      <c r="F125" s="198"/>
      <c r="G125" s="198"/>
      <c r="H125" s="198">
        <f t="shared" si="37"/>
        <v>0</v>
      </c>
      <c r="I125" s="198">
        <f t="shared" si="38"/>
        <v>25120949.980072461</v>
      </c>
      <c r="J125" s="198">
        <f t="shared" si="33"/>
        <v>0</v>
      </c>
      <c r="K125" s="198">
        <f t="shared" si="34"/>
        <v>0</v>
      </c>
      <c r="L125" s="198">
        <f t="shared" si="35"/>
        <v>0</v>
      </c>
    </row>
    <row r="126" spans="1:12">
      <c r="A126" s="200">
        <v>115</v>
      </c>
      <c r="B126" s="198">
        <f t="shared" si="30"/>
        <v>0</v>
      </c>
      <c r="C126" s="198">
        <f t="shared" si="31"/>
        <v>0</v>
      </c>
      <c r="D126" s="198">
        <f t="shared" si="32"/>
        <v>0</v>
      </c>
      <c r="E126" s="198">
        <f t="shared" si="36"/>
        <v>0</v>
      </c>
      <c r="F126" s="198"/>
      <c r="G126" s="198"/>
      <c r="H126" s="198">
        <f t="shared" si="37"/>
        <v>0</v>
      </c>
      <c r="I126" s="198">
        <f t="shared" si="38"/>
        <v>25120949.980072461</v>
      </c>
      <c r="J126" s="198">
        <f t="shared" si="33"/>
        <v>0</v>
      </c>
      <c r="K126" s="198">
        <f t="shared" si="34"/>
        <v>0</v>
      </c>
      <c r="L126" s="198">
        <f t="shared" si="35"/>
        <v>0</v>
      </c>
    </row>
    <row r="127" spans="1:12">
      <c r="A127" s="200">
        <v>116</v>
      </c>
      <c r="B127" s="198">
        <f t="shared" si="30"/>
        <v>0</v>
      </c>
      <c r="C127" s="198">
        <f t="shared" si="31"/>
        <v>0</v>
      </c>
      <c r="D127" s="198">
        <f t="shared" si="32"/>
        <v>0</v>
      </c>
      <c r="E127" s="198">
        <f t="shared" si="36"/>
        <v>0</v>
      </c>
      <c r="F127" s="198"/>
      <c r="G127" s="198"/>
      <c r="H127" s="198">
        <f t="shared" si="37"/>
        <v>0</v>
      </c>
      <c r="I127" s="198">
        <f t="shared" si="38"/>
        <v>25120949.980072461</v>
      </c>
      <c r="J127" s="198">
        <f t="shared" si="33"/>
        <v>0</v>
      </c>
      <c r="K127" s="198">
        <f t="shared" si="34"/>
        <v>0</v>
      </c>
      <c r="L127" s="198">
        <f t="shared" si="35"/>
        <v>0</v>
      </c>
    </row>
    <row r="128" spans="1:12">
      <c r="A128" s="200">
        <v>117</v>
      </c>
      <c r="B128" s="198">
        <f t="shared" si="30"/>
        <v>0</v>
      </c>
      <c r="C128" s="198">
        <f t="shared" si="31"/>
        <v>0</v>
      </c>
      <c r="D128" s="198">
        <f t="shared" si="32"/>
        <v>0</v>
      </c>
      <c r="E128" s="198">
        <f t="shared" si="36"/>
        <v>0</v>
      </c>
      <c r="F128" s="198"/>
      <c r="G128" s="198"/>
      <c r="H128" s="198">
        <f t="shared" si="37"/>
        <v>0</v>
      </c>
      <c r="I128" s="198">
        <f t="shared" si="38"/>
        <v>25120949.980072461</v>
      </c>
      <c r="J128" s="198">
        <f t="shared" si="33"/>
        <v>0</v>
      </c>
      <c r="K128" s="198">
        <f t="shared" si="34"/>
        <v>0</v>
      </c>
      <c r="L128" s="198">
        <f t="shared" si="35"/>
        <v>0</v>
      </c>
    </row>
    <row r="129" spans="1:12">
      <c r="A129" s="200">
        <v>118</v>
      </c>
      <c r="B129" s="198">
        <f t="shared" si="30"/>
        <v>0</v>
      </c>
      <c r="C129" s="198">
        <f t="shared" si="31"/>
        <v>0</v>
      </c>
      <c r="D129" s="198">
        <f t="shared" si="32"/>
        <v>0</v>
      </c>
      <c r="E129" s="198">
        <f t="shared" si="36"/>
        <v>0</v>
      </c>
      <c r="F129" s="198"/>
      <c r="G129" s="198"/>
      <c r="H129" s="198">
        <f t="shared" si="37"/>
        <v>0</v>
      </c>
      <c r="I129" s="198">
        <f t="shared" si="38"/>
        <v>25120949.980072461</v>
      </c>
      <c r="J129" s="198">
        <f t="shared" si="33"/>
        <v>0</v>
      </c>
      <c r="K129" s="198">
        <f t="shared" si="34"/>
        <v>0</v>
      </c>
      <c r="L129" s="198">
        <f t="shared" si="35"/>
        <v>0</v>
      </c>
    </row>
    <row r="130" spans="1:12">
      <c r="A130" s="200">
        <v>119</v>
      </c>
      <c r="B130" s="198">
        <f t="shared" si="30"/>
        <v>0</v>
      </c>
      <c r="C130" s="198">
        <f t="shared" si="31"/>
        <v>0</v>
      </c>
      <c r="D130" s="198">
        <f t="shared" si="32"/>
        <v>0</v>
      </c>
      <c r="E130" s="198">
        <f t="shared" si="36"/>
        <v>0</v>
      </c>
      <c r="F130" s="198"/>
      <c r="G130" s="198"/>
      <c r="H130" s="198">
        <f t="shared" si="37"/>
        <v>0</v>
      </c>
      <c r="I130" s="198">
        <f t="shared" si="38"/>
        <v>25120949.980072461</v>
      </c>
      <c r="J130" s="198">
        <f t="shared" si="33"/>
        <v>0</v>
      </c>
      <c r="K130" s="198">
        <f t="shared" si="34"/>
        <v>0</v>
      </c>
      <c r="L130" s="198">
        <f t="shared" si="35"/>
        <v>0</v>
      </c>
    </row>
    <row r="131" spans="1:12">
      <c r="A131" s="200">
        <v>120</v>
      </c>
      <c r="B131" s="198">
        <f t="shared" si="30"/>
        <v>0</v>
      </c>
      <c r="C131" s="198">
        <f t="shared" si="31"/>
        <v>0</v>
      </c>
      <c r="D131" s="198">
        <f t="shared" si="32"/>
        <v>0</v>
      </c>
      <c r="E131" s="198">
        <f t="shared" si="36"/>
        <v>0</v>
      </c>
      <c r="F131" s="198"/>
      <c r="G131" s="198"/>
      <c r="H131" s="198">
        <f t="shared" si="37"/>
        <v>0</v>
      </c>
      <c r="I131" s="198">
        <f t="shared" si="38"/>
        <v>25120949.980072461</v>
      </c>
      <c r="J131" s="198">
        <f t="shared" si="33"/>
        <v>0</v>
      </c>
      <c r="K131" s="198">
        <f t="shared" si="34"/>
        <v>0</v>
      </c>
      <c r="L131" s="198">
        <f t="shared" si="35"/>
        <v>0</v>
      </c>
    </row>
    <row r="132" spans="1:12">
      <c r="A132" s="200">
        <v>121</v>
      </c>
      <c r="B132" s="198">
        <f t="shared" si="30"/>
        <v>0</v>
      </c>
      <c r="C132" s="198">
        <v>0</v>
      </c>
      <c r="D132" s="198">
        <f t="shared" si="32"/>
        <v>0</v>
      </c>
      <c r="E132" s="198">
        <f t="shared" si="36"/>
        <v>0</v>
      </c>
      <c r="F132" s="198"/>
      <c r="G132" s="198"/>
      <c r="H132" s="198">
        <f t="shared" si="37"/>
        <v>0</v>
      </c>
      <c r="I132" s="198">
        <f t="shared" si="38"/>
        <v>25120949.980072461</v>
      </c>
      <c r="J132" s="198">
        <f t="shared" si="33"/>
        <v>0</v>
      </c>
      <c r="K132" s="198">
        <f t="shared" si="34"/>
        <v>0</v>
      </c>
      <c r="L132" s="198">
        <f t="shared" si="35"/>
        <v>0</v>
      </c>
    </row>
    <row r="133" spans="1:12">
      <c r="A133" s="200">
        <v>122</v>
      </c>
      <c r="B133" s="198">
        <v>0</v>
      </c>
      <c r="C133" s="198">
        <v>0</v>
      </c>
      <c r="D133" s="198">
        <f t="shared" si="32"/>
        <v>0</v>
      </c>
      <c r="E133" s="198">
        <f t="shared" si="36"/>
        <v>0</v>
      </c>
      <c r="F133" s="198"/>
      <c r="G133" s="198"/>
      <c r="H133" s="198">
        <f t="shared" si="37"/>
        <v>0</v>
      </c>
      <c r="I133" s="198">
        <f t="shared" si="38"/>
        <v>25120949.980072461</v>
      </c>
      <c r="J133" s="198">
        <f t="shared" si="33"/>
        <v>0</v>
      </c>
      <c r="K133" s="198">
        <f t="shared" si="34"/>
        <v>0</v>
      </c>
      <c r="L133" s="198">
        <f t="shared" si="35"/>
        <v>0</v>
      </c>
    </row>
    <row r="134" spans="1:12">
      <c r="A134" s="200">
        <v>123</v>
      </c>
      <c r="B134" s="198">
        <v>0</v>
      </c>
      <c r="C134" s="198">
        <v>0</v>
      </c>
      <c r="D134" s="198">
        <f t="shared" si="32"/>
        <v>0</v>
      </c>
      <c r="E134" s="198">
        <f t="shared" si="36"/>
        <v>0</v>
      </c>
      <c r="F134" s="198"/>
      <c r="G134" s="198"/>
      <c r="H134" s="198">
        <f t="shared" si="37"/>
        <v>0</v>
      </c>
      <c r="I134" s="198">
        <f t="shared" si="38"/>
        <v>25120949.980072461</v>
      </c>
      <c r="J134" s="198">
        <f t="shared" si="33"/>
        <v>0</v>
      </c>
      <c r="K134" s="198">
        <f t="shared" si="34"/>
        <v>0</v>
      </c>
      <c r="L134" s="198">
        <f t="shared" si="35"/>
        <v>0</v>
      </c>
    </row>
    <row r="135" spans="1:12">
      <c r="A135" s="200">
        <v>124</v>
      </c>
      <c r="B135" s="198">
        <v>0</v>
      </c>
      <c r="C135" s="198">
        <v>0</v>
      </c>
      <c r="D135" s="198">
        <f t="shared" si="32"/>
        <v>0</v>
      </c>
      <c r="E135" s="198">
        <f t="shared" si="36"/>
        <v>0</v>
      </c>
      <c r="F135" s="198"/>
      <c r="G135" s="198"/>
      <c r="H135" s="198">
        <f t="shared" si="37"/>
        <v>0</v>
      </c>
      <c r="I135" s="198">
        <f t="shared" si="38"/>
        <v>25120949.980072461</v>
      </c>
      <c r="J135" s="198">
        <f t="shared" si="33"/>
        <v>0</v>
      </c>
      <c r="K135" s="198">
        <f t="shared" si="34"/>
        <v>0</v>
      </c>
      <c r="L135" s="198">
        <f t="shared" si="35"/>
        <v>0</v>
      </c>
    </row>
    <row r="136" spans="1:12">
      <c r="A136" s="200">
        <v>125</v>
      </c>
      <c r="B136" s="198">
        <v>0</v>
      </c>
      <c r="C136" s="198">
        <v>0</v>
      </c>
      <c r="D136" s="198">
        <f t="shared" si="32"/>
        <v>0</v>
      </c>
      <c r="E136" s="198">
        <f t="shared" si="36"/>
        <v>0</v>
      </c>
      <c r="F136" s="198"/>
      <c r="G136" s="198"/>
      <c r="H136" s="198">
        <f t="shared" si="37"/>
        <v>0</v>
      </c>
      <c r="I136" s="198">
        <f t="shared" si="38"/>
        <v>25120949.980072461</v>
      </c>
      <c r="J136" s="198">
        <f t="shared" si="33"/>
        <v>0</v>
      </c>
      <c r="K136" s="198">
        <f t="shared" si="34"/>
        <v>0</v>
      </c>
      <c r="L136" s="198">
        <f t="shared" si="35"/>
        <v>0</v>
      </c>
    </row>
    <row r="137" spans="1:12">
      <c r="A137" s="200">
        <v>126</v>
      </c>
      <c r="B137" s="198">
        <v>0</v>
      </c>
      <c r="C137" s="198">
        <v>0</v>
      </c>
      <c r="D137" s="198">
        <f t="shared" si="32"/>
        <v>0</v>
      </c>
      <c r="E137" s="198">
        <f t="shared" si="36"/>
        <v>0</v>
      </c>
      <c r="F137" s="198"/>
      <c r="G137" s="198"/>
      <c r="H137" s="198">
        <f t="shared" si="37"/>
        <v>0</v>
      </c>
      <c r="I137" s="198">
        <f t="shared" si="38"/>
        <v>25120949.980072461</v>
      </c>
      <c r="J137" s="198">
        <f t="shared" si="33"/>
        <v>0</v>
      </c>
      <c r="K137" s="198">
        <f t="shared" si="34"/>
        <v>0</v>
      </c>
      <c r="L137" s="198">
        <f t="shared" si="35"/>
        <v>0</v>
      </c>
    </row>
    <row r="138" spans="1:12">
      <c r="A138" s="200">
        <v>127</v>
      </c>
      <c r="B138" s="198">
        <v>0</v>
      </c>
      <c r="C138" s="198">
        <v>0</v>
      </c>
      <c r="D138" s="198">
        <f t="shared" si="32"/>
        <v>0</v>
      </c>
      <c r="E138" s="198">
        <f t="shared" si="36"/>
        <v>0</v>
      </c>
      <c r="F138" s="198"/>
      <c r="G138" s="198"/>
      <c r="H138" s="198">
        <f t="shared" si="37"/>
        <v>0</v>
      </c>
      <c r="I138" s="198">
        <f t="shared" si="38"/>
        <v>25120949.980072461</v>
      </c>
      <c r="J138" s="198">
        <f t="shared" si="33"/>
        <v>0</v>
      </c>
      <c r="K138" s="198">
        <f t="shared" si="34"/>
        <v>0</v>
      </c>
      <c r="L138" s="198">
        <f t="shared" si="35"/>
        <v>0</v>
      </c>
    </row>
    <row r="139" spans="1:12">
      <c r="A139" s="200">
        <v>128</v>
      </c>
      <c r="B139" s="198">
        <v>0</v>
      </c>
      <c r="C139" s="198">
        <v>0</v>
      </c>
      <c r="D139" s="198">
        <f t="shared" ref="D139:D143" si="39">B139+C139</f>
        <v>0</v>
      </c>
      <c r="E139" s="198">
        <f t="shared" si="36"/>
        <v>0</v>
      </c>
      <c r="F139" s="198"/>
      <c r="G139" s="198"/>
      <c r="H139" s="198">
        <f t="shared" si="37"/>
        <v>0</v>
      </c>
      <c r="I139" s="198">
        <f t="shared" si="38"/>
        <v>25120949.980072461</v>
      </c>
      <c r="J139" s="198">
        <f t="shared" si="33"/>
        <v>0</v>
      </c>
      <c r="K139" s="198">
        <f t="shared" si="34"/>
        <v>0</v>
      </c>
      <c r="L139" s="198">
        <f t="shared" si="35"/>
        <v>0</v>
      </c>
    </row>
    <row r="140" spans="1:12">
      <c r="A140" s="200">
        <v>129</v>
      </c>
      <c r="B140" s="198">
        <v>0</v>
      </c>
      <c r="C140" s="198">
        <v>0</v>
      </c>
      <c r="D140" s="198">
        <f t="shared" si="39"/>
        <v>0</v>
      </c>
      <c r="E140" s="198">
        <f t="shared" si="36"/>
        <v>0</v>
      </c>
      <c r="F140" s="198"/>
      <c r="G140" s="198"/>
      <c r="H140" s="198">
        <f t="shared" ref="H140:H143" si="40">F140+G140</f>
        <v>0</v>
      </c>
      <c r="I140" s="198">
        <f t="shared" si="38"/>
        <v>25120949.980072461</v>
      </c>
      <c r="J140" s="198">
        <f t="shared" si="33"/>
        <v>0</v>
      </c>
      <c r="K140" s="198">
        <f t="shared" si="34"/>
        <v>0</v>
      </c>
      <c r="L140" s="198">
        <f t="shared" si="35"/>
        <v>0</v>
      </c>
    </row>
    <row r="141" spans="1:12">
      <c r="A141" s="200">
        <v>130</v>
      </c>
      <c r="B141" s="198">
        <v>0</v>
      </c>
      <c r="C141" s="198">
        <v>0</v>
      </c>
      <c r="D141" s="198">
        <f t="shared" si="39"/>
        <v>0</v>
      </c>
      <c r="E141" s="198">
        <f t="shared" si="36"/>
        <v>0</v>
      </c>
      <c r="F141" s="198"/>
      <c r="G141" s="198"/>
      <c r="H141" s="198">
        <f t="shared" si="40"/>
        <v>0</v>
      </c>
      <c r="I141" s="198">
        <f t="shared" si="38"/>
        <v>25120949.980072461</v>
      </c>
      <c r="J141" s="198">
        <f t="shared" si="33"/>
        <v>0</v>
      </c>
      <c r="K141" s="198">
        <f t="shared" si="34"/>
        <v>0</v>
      </c>
      <c r="L141" s="198">
        <f t="shared" si="35"/>
        <v>0</v>
      </c>
    </row>
    <row r="142" spans="1:12">
      <c r="A142" s="200">
        <v>131</v>
      </c>
      <c r="B142" s="198">
        <v>0</v>
      </c>
      <c r="C142" s="198">
        <v>0</v>
      </c>
      <c r="D142" s="198">
        <f t="shared" si="39"/>
        <v>0</v>
      </c>
      <c r="E142" s="198">
        <f t="shared" si="36"/>
        <v>0</v>
      </c>
      <c r="F142" s="198"/>
      <c r="G142" s="198"/>
      <c r="H142" s="198">
        <f t="shared" si="40"/>
        <v>0</v>
      </c>
      <c r="I142" s="198">
        <f t="shared" si="38"/>
        <v>25120949.980072461</v>
      </c>
      <c r="J142" s="198">
        <f t="shared" si="33"/>
        <v>0</v>
      </c>
      <c r="K142" s="198">
        <f t="shared" si="34"/>
        <v>0</v>
      </c>
      <c r="L142" s="198">
        <f t="shared" si="35"/>
        <v>0</v>
      </c>
    </row>
    <row r="143" spans="1:12">
      <c r="A143" s="200">
        <v>132</v>
      </c>
      <c r="B143" s="198">
        <v>0</v>
      </c>
      <c r="C143" s="198">
        <v>0</v>
      </c>
      <c r="D143" s="198">
        <f t="shared" si="39"/>
        <v>0</v>
      </c>
      <c r="E143" s="198">
        <f t="shared" si="36"/>
        <v>0</v>
      </c>
      <c r="F143" s="198"/>
      <c r="G143" s="198"/>
      <c r="H143" s="198">
        <f t="shared" si="40"/>
        <v>0</v>
      </c>
      <c r="I143" s="198">
        <f t="shared" si="38"/>
        <v>25120949.980072461</v>
      </c>
      <c r="J143" s="198">
        <f t="shared" si="33"/>
        <v>0</v>
      </c>
      <c r="K143" s="198">
        <f t="shared" si="34"/>
        <v>0</v>
      </c>
      <c r="L143" s="198">
        <f t="shared" si="35"/>
        <v>0</v>
      </c>
    </row>
    <row r="144" spans="1:12">
      <c r="A144" s="200"/>
      <c r="B144" s="198"/>
      <c r="C144" s="198"/>
      <c r="D144" s="198"/>
      <c r="E144" s="198"/>
      <c r="H144" s="198"/>
      <c r="I144" s="199"/>
      <c r="J144" s="198"/>
    </row>
    <row r="145" spans="1:134">
      <c r="A145" s="192">
        <f>A143/12</f>
        <v>11</v>
      </c>
      <c r="B145" s="194">
        <f>SUM(B11:B144)</f>
        <v>0</v>
      </c>
      <c r="C145" s="194">
        <f>SUM(C11:C144)</f>
        <v>0</v>
      </c>
      <c r="D145" s="194">
        <f>SUM(D11:D144)</f>
        <v>0</v>
      </c>
      <c r="F145" s="194">
        <f>SUM(F11:F131)</f>
        <v>0</v>
      </c>
      <c r="G145" s="194">
        <f>SUM(G11:G131)</f>
        <v>0</v>
      </c>
      <c r="H145" s="194">
        <f>SUM(H11:H131)</f>
        <v>0</v>
      </c>
    </row>
    <row r="157" spans="1:134">
      <c r="C157" s="197"/>
    </row>
    <row r="158" spans="1:134">
      <c r="B158" s="194"/>
      <c r="C158" s="194"/>
      <c r="D158" s="194"/>
      <c r="E158" s="194"/>
      <c r="F158" s="194"/>
      <c r="G158" s="194"/>
      <c r="H158" s="194"/>
      <c r="I158" s="194"/>
      <c r="J158" s="194"/>
      <c r="K158" s="194"/>
      <c r="L158" s="194"/>
    </row>
    <row r="159" spans="1:134">
      <c r="P159" s="192"/>
    </row>
    <row r="160" spans="1:134">
      <c r="A160" s="195"/>
      <c r="B160" s="194"/>
      <c r="C160" s="194"/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  <c r="P160" s="194"/>
      <c r="Q160" s="194"/>
      <c r="R160" s="194"/>
      <c r="S160" s="194"/>
      <c r="T160" s="194"/>
      <c r="U160" s="194"/>
      <c r="V160" s="194"/>
      <c r="W160" s="194"/>
      <c r="X160" s="194"/>
      <c r="Y160" s="194"/>
      <c r="Z160" s="194"/>
      <c r="AA160" s="194"/>
      <c r="AB160" s="194"/>
      <c r="AC160" s="194"/>
      <c r="AD160" s="194"/>
      <c r="AE160" s="194"/>
      <c r="AF160" s="194"/>
      <c r="AG160" s="194"/>
      <c r="AH160" s="194"/>
      <c r="AI160" s="194"/>
      <c r="AJ160" s="194"/>
      <c r="AK160" s="194"/>
      <c r="AL160" s="194"/>
      <c r="AM160" s="194"/>
      <c r="AN160" s="194"/>
      <c r="AO160" s="194"/>
      <c r="AP160" s="194"/>
      <c r="AQ160" s="194"/>
      <c r="AR160" s="194"/>
      <c r="AS160" s="194"/>
      <c r="AT160" s="194"/>
      <c r="AU160" s="194"/>
      <c r="AV160" s="194"/>
      <c r="AW160" s="194"/>
      <c r="AX160" s="194"/>
      <c r="AY160" s="194"/>
      <c r="AZ160" s="194"/>
      <c r="BA160" s="194"/>
      <c r="BB160" s="194"/>
      <c r="BC160" s="194"/>
      <c r="BD160" s="194"/>
      <c r="BE160" s="194"/>
      <c r="BF160" s="194"/>
      <c r="BG160" s="194"/>
      <c r="BH160" s="194"/>
      <c r="BI160" s="194"/>
      <c r="BJ160" s="194"/>
      <c r="BK160" s="194"/>
      <c r="BL160" s="194"/>
      <c r="BM160" s="194"/>
      <c r="BN160" s="194"/>
      <c r="BO160" s="194"/>
      <c r="BP160" s="194"/>
      <c r="BQ160" s="194"/>
      <c r="BR160" s="194"/>
      <c r="BS160" s="194"/>
      <c r="BT160" s="194"/>
      <c r="BU160" s="194"/>
      <c r="BV160" s="194"/>
      <c r="BW160" s="194"/>
      <c r="BX160" s="194"/>
      <c r="BY160" s="194"/>
      <c r="BZ160" s="194"/>
      <c r="CA160" s="194"/>
      <c r="CB160" s="194"/>
      <c r="CC160" s="194"/>
      <c r="CD160" s="194"/>
      <c r="CE160" s="194"/>
      <c r="CF160" s="194"/>
      <c r="CG160" s="194"/>
      <c r="CH160" s="194"/>
      <c r="CI160" s="194"/>
      <c r="CJ160" s="194"/>
      <c r="CK160" s="194"/>
      <c r="CL160" s="194"/>
      <c r="CM160" s="194"/>
      <c r="CN160" s="194"/>
      <c r="CO160" s="194"/>
      <c r="CP160" s="194"/>
      <c r="CQ160" s="194"/>
      <c r="CR160" s="194"/>
      <c r="CS160" s="194"/>
      <c r="CT160" s="194"/>
      <c r="CU160" s="194"/>
      <c r="CV160" s="194"/>
      <c r="CW160" s="194"/>
      <c r="CX160" s="194"/>
      <c r="CY160" s="194"/>
      <c r="CZ160" s="194"/>
      <c r="DA160" s="194"/>
      <c r="DB160" s="194"/>
      <c r="DC160" s="194"/>
      <c r="DD160" s="194"/>
      <c r="DE160" s="194"/>
      <c r="DF160" s="194"/>
      <c r="DG160" s="194"/>
      <c r="DH160" s="194"/>
      <c r="DI160" s="194"/>
      <c r="DJ160" s="194"/>
      <c r="DK160" s="194"/>
      <c r="DL160" s="194"/>
      <c r="DM160" s="194"/>
      <c r="DN160" s="194"/>
      <c r="DO160" s="194"/>
      <c r="DP160" s="194"/>
      <c r="DQ160" s="194"/>
      <c r="DR160" s="194"/>
      <c r="DS160" s="194"/>
      <c r="DT160" s="194"/>
      <c r="DU160" s="194"/>
      <c r="DV160" s="194"/>
      <c r="DW160" s="194"/>
      <c r="DX160" s="194"/>
      <c r="DY160" s="194"/>
      <c r="DZ160" s="194"/>
      <c r="EA160" s="194"/>
      <c r="EB160" s="194"/>
      <c r="EC160" s="194"/>
      <c r="ED160" s="194"/>
    </row>
    <row r="161" spans="1:135">
      <c r="A161" s="195"/>
      <c r="B161" s="194"/>
      <c r="C161" s="194"/>
      <c r="D161" s="194"/>
      <c r="E161" s="194"/>
      <c r="F161" s="194"/>
      <c r="G161" s="194"/>
      <c r="H161" s="194"/>
      <c r="I161" s="194"/>
      <c r="J161" s="194"/>
      <c r="K161" s="194"/>
      <c r="L161" s="194"/>
      <c r="M161" s="194"/>
      <c r="N161" s="194"/>
      <c r="O161" s="194"/>
      <c r="P161" s="194"/>
      <c r="Q161" s="194"/>
      <c r="R161" s="194"/>
      <c r="S161" s="194"/>
      <c r="T161" s="194"/>
      <c r="U161" s="194"/>
      <c r="V161" s="194"/>
      <c r="W161" s="194"/>
      <c r="X161" s="194"/>
      <c r="Y161" s="194"/>
      <c r="Z161" s="194"/>
      <c r="AA161" s="194"/>
      <c r="AB161" s="194"/>
      <c r="AC161" s="194"/>
      <c r="AD161" s="194"/>
      <c r="AE161" s="194"/>
      <c r="AF161" s="194"/>
      <c r="AG161" s="194"/>
      <c r="AH161" s="194"/>
      <c r="AI161" s="194"/>
      <c r="AJ161" s="194"/>
      <c r="AK161" s="194"/>
      <c r="AL161" s="194"/>
      <c r="AM161" s="194"/>
      <c r="AN161" s="194"/>
      <c r="AO161" s="194"/>
      <c r="AP161" s="194"/>
      <c r="AQ161" s="194"/>
      <c r="AR161" s="194"/>
      <c r="AS161" s="194"/>
      <c r="AT161" s="194"/>
      <c r="AU161" s="194"/>
      <c r="AV161" s="194"/>
      <c r="AW161" s="194"/>
      <c r="AX161" s="194"/>
      <c r="AY161" s="194"/>
      <c r="AZ161" s="194"/>
      <c r="BA161" s="194"/>
      <c r="BB161" s="194"/>
      <c r="BC161" s="194"/>
      <c r="BD161" s="194"/>
      <c r="BE161" s="194"/>
      <c r="BF161" s="194"/>
      <c r="BG161" s="194"/>
      <c r="BH161" s="194"/>
      <c r="BI161" s="194"/>
      <c r="BJ161" s="194"/>
      <c r="BK161" s="194"/>
      <c r="BL161" s="194"/>
      <c r="BM161" s="194"/>
      <c r="BN161" s="194"/>
      <c r="BO161" s="194"/>
      <c r="BP161" s="194"/>
      <c r="BQ161" s="194"/>
      <c r="BR161" s="194"/>
      <c r="BS161" s="194"/>
      <c r="BT161" s="194"/>
      <c r="BU161" s="194"/>
      <c r="BV161" s="194"/>
      <c r="BW161" s="194"/>
      <c r="BX161" s="194"/>
      <c r="BY161" s="194"/>
      <c r="BZ161" s="194"/>
      <c r="CA161" s="194"/>
      <c r="CB161" s="194"/>
      <c r="CC161" s="194"/>
      <c r="CD161" s="194"/>
      <c r="CE161" s="194"/>
      <c r="CF161" s="194"/>
      <c r="CG161" s="194"/>
      <c r="CH161" s="194"/>
      <c r="CI161" s="194"/>
      <c r="CJ161" s="194"/>
      <c r="CK161" s="194"/>
      <c r="CL161" s="194"/>
      <c r="CM161" s="194"/>
      <c r="CN161" s="194"/>
      <c r="CO161" s="194"/>
      <c r="CP161" s="194"/>
      <c r="CQ161" s="194"/>
      <c r="CR161" s="194"/>
      <c r="CS161" s="194"/>
      <c r="CT161" s="194"/>
      <c r="CU161" s="194"/>
      <c r="CV161" s="194"/>
      <c r="CW161" s="194"/>
      <c r="CX161" s="194"/>
      <c r="CY161" s="194"/>
      <c r="CZ161" s="194"/>
      <c r="DA161" s="194"/>
      <c r="DB161" s="194"/>
      <c r="DC161" s="194"/>
      <c r="DD161" s="194"/>
      <c r="DE161" s="194"/>
      <c r="DF161" s="194"/>
      <c r="DG161" s="194"/>
      <c r="DH161" s="194"/>
      <c r="DI161" s="194"/>
      <c r="DJ161" s="194"/>
      <c r="DK161" s="194"/>
      <c r="DL161" s="194"/>
      <c r="DM161" s="194"/>
      <c r="DN161" s="194"/>
      <c r="DO161" s="194"/>
      <c r="DP161" s="194"/>
      <c r="DQ161" s="194"/>
      <c r="DR161" s="194"/>
      <c r="DS161" s="194"/>
      <c r="DT161" s="194"/>
      <c r="DU161" s="194"/>
      <c r="DV161" s="194"/>
      <c r="DW161" s="194"/>
      <c r="DX161" s="194"/>
      <c r="DY161" s="194"/>
      <c r="DZ161" s="194"/>
      <c r="EA161" s="194"/>
      <c r="EB161" s="194"/>
      <c r="EC161" s="194"/>
      <c r="ED161" s="194"/>
    </row>
    <row r="163" spans="1:135">
      <c r="AA163" s="194"/>
      <c r="AM163" s="194"/>
      <c r="AY163" s="194"/>
      <c r="BK163" s="194"/>
      <c r="BW163" s="194"/>
      <c r="CI163" s="194"/>
      <c r="CU163" s="194"/>
      <c r="DG163" s="194"/>
      <c r="DS163" s="194"/>
      <c r="EE163" s="194"/>
    </row>
    <row r="167" spans="1:135">
      <c r="A167" s="194"/>
      <c r="B167" s="194"/>
    </row>
    <row r="168" spans="1:135">
      <c r="A168" s="194"/>
      <c r="B168" s="194"/>
    </row>
    <row r="169" spans="1:135">
      <c r="A169" s="194"/>
      <c r="B169" s="194"/>
    </row>
    <row r="170" spans="1:135">
      <c r="A170" s="197" t="s">
        <v>115</v>
      </c>
      <c r="B170" s="194"/>
      <c r="C170" s="116" t="s">
        <v>190</v>
      </c>
      <c r="D170" s="116" t="s">
        <v>191</v>
      </c>
      <c r="E170" s="116" t="s">
        <v>192</v>
      </c>
      <c r="F170" s="116" t="s">
        <v>193</v>
      </c>
      <c r="G170" s="116" t="s">
        <v>194</v>
      </c>
      <c r="H170" s="116" t="s">
        <v>195</v>
      </c>
      <c r="I170" s="116" t="s">
        <v>196</v>
      </c>
      <c r="J170" s="116" t="s">
        <v>197</v>
      </c>
      <c r="K170" s="116" t="s">
        <v>198</v>
      </c>
      <c r="L170" s="116" t="s">
        <v>199</v>
      </c>
      <c r="O170" s="194">
        <f>SUM(O160:Z161)</f>
        <v>0</v>
      </c>
    </row>
    <row r="171" spans="1:135">
      <c r="A171" s="197" t="s">
        <v>481</v>
      </c>
      <c r="B171" s="194"/>
      <c r="C171" s="194">
        <f>SUM(B12:B23)</f>
        <v>0</v>
      </c>
      <c r="D171" s="194">
        <f>SUM(B24:B35)</f>
        <v>0</v>
      </c>
      <c r="E171" s="194">
        <f>SUM(B36:B47)</f>
        <v>0</v>
      </c>
      <c r="F171" s="194">
        <f>SUM(B48:B59)</f>
        <v>0</v>
      </c>
      <c r="G171" s="194">
        <f>SUM(B60:B71)</f>
        <v>0</v>
      </c>
      <c r="H171" s="194">
        <f>SUM(B72:B83)</f>
        <v>0</v>
      </c>
      <c r="I171" s="194">
        <f>SUM(B84:B95)</f>
        <v>0</v>
      </c>
      <c r="J171" s="194">
        <f>SUM(B96:B107)</f>
        <v>0</v>
      </c>
      <c r="K171" s="194">
        <f>SUM(B108:B119)</f>
        <v>0</v>
      </c>
      <c r="L171" s="194">
        <f>SUM(B120:B131)</f>
        <v>0</v>
      </c>
      <c r="O171" s="194"/>
    </row>
    <row r="172" spans="1:135">
      <c r="A172" s="197" t="s">
        <v>492</v>
      </c>
      <c r="B172" s="194"/>
      <c r="C172" s="194">
        <f>SUM(C12:C23)</f>
        <v>0</v>
      </c>
      <c r="D172" s="194">
        <f>SUM(C24:C35)</f>
        <v>0</v>
      </c>
      <c r="E172" s="194">
        <f>SUM(C36:C47)</f>
        <v>0</v>
      </c>
      <c r="F172" s="194">
        <f>SUM(C48:C59)</f>
        <v>0</v>
      </c>
      <c r="G172" s="194">
        <f>SUM(C60:C71)</f>
        <v>0</v>
      </c>
      <c r="H172" s="194">
        <f>SUM(C72:C83)</f>
        <v>0</v>
      </c>
      <c r="I172" s="194">
        <f>SUM(C84:C95)</f>
        <v>0</v>
      </c>
      <c r="J172" s="194">
        <f>SUM(C96:C107)</f>
        <v>0</v>
      </c>
      <c r="K172" s="194">
        <f>SUM(C108:C119)</f>
        <v>0</v>
      </c>
      <c r="L172" s="194">
        <f>SUM(C120:C131)</f>
        <v>0</v>
      </c>
      <c r="O172" s="194"/>
    </row>
    <row r="173" spans="1:135">
      <c r="A173" s="192" t="s">
        <v>30</v>
      </c>
      <c r="C173" s="196">
        <f>SUM(D12:D23)</f>
        <v>0</v>
      </c>
      <c r="D173" s="194">
        <f>SUM(D24:D35)</f>
        <v>0</v>
      </c>
      <c r="E173" s="194">
        <f>SUM(D36:D47)</f>
        <v>0</v>
      </c>
      <c r="F173" s="194">
        <f>SUM(D48:D59)</f>
        <v>0</v>
      </c>
      <c r="G173" s="194">
        <f>SUM(D60:D71)</f>
        <v>0</v>
      </c>
      <c r="H173" s="194">
        <f>SUM(D72:D83)</f>
        <v>0</v>
      </c>
      <c r="I173" s="194">
        <f>SUM(D84:D95)</f>
        <v>0</v>
      </c>
      <c r="J173" s="194">
        <f>SUM(D96:D107)</f>
        <v>0</v>
      </c>
      <c r="K173" s="194">
        <f>SUM(D108:D119)</f>
        <v>0</v>
      </c>
      <c r="L173" s="194">
        <f>SUM(D120:D131)</f>
        <v>0</v>
      </c>
      <c r="M173" s="194"/>
    </row>
    <row r="175" spans="1:135">
      <c r="A175" s="195"/>
      <c r="B175" s="195"/>
    </row>
    <row r="176" spans="1:135">
      <c r="A176" s="194"/>
      <c r="B176" s="194"/>
    </row>
    <row r="177" spans="1:2">
      <c r="A177" s="194"/>
      <c r="B177" s="194"/>
    </row>
    <row r="178" spans="1:2">
      <c r="A178" s="194"/>
      <c r="B178" s="194"/>
    </row>
    <row r="179" spans="1:2">
      <c r="A179" s="194"/>
      <c r="B179" s="194"/>
    </row>
    <row r="180" spans="1:2">
      <c r="A180" s="194"/>
      <c r="B180" s="194"/>
    </row>
    <row r="181" spans="1:2">
      <c r="A181" s="194"/>
      <c r="B181" s="194"/>
    </row>
    <row r="182" spans="1:2">
      <c r="A182" s="194"/>
      <c r="B182" s="194"/>
    </row>
    <row r="183" spans="1:2">
      <c r="A183" s="194"/>
      <c r="B183" s="194"/>
    </row>
    <row r="184" spans="1:2">
      <c r="A184" s="194"/>
      <c r="B184" s="194"/>
    </row>
    <row r="185" spans="1:2">
      <c r="A185" s="194"/>
      <c r="B185" s="194"/>
    </row>
    <row r="186" spans="1:2">
      <c r="A186" s="194"/>
      <c r="B186" s="194"/>
    </row>
    <row r="187" spans="1:2">
      <c r="A187" s="194"/>
      <c r="B187" s="194"/>
    </row>
    <row r="188" spans="1:2">
      <c r="A188" s="194"/>
      <c r="B188" s="194"/>
    </row>
    <row r="189" spans="1:2">
      <c r="A189" s="194"/>
      <c r="B189" s="194"/>
    </row>
    <row r="190" spans="1:2">
      <c r="A190" s="194"/>
      <c r="B190" s="194"/>
    </row>
    <row r="191" spans="1:2">
      <c r="A191" s="194"/>
      <c r="B191" s="194"/>
    </row>
    <row r="192" spans="1:2">
      <c r="A192" s="194"/>
      <c r="B192" s="194"/>
    </row>
    <row r="193" spans="1:2">
      <c r="A193" s="194"/>
      <c r="B193" s="194"/>
    </row>
    <row r="194" spans="1:2">
      <c r="A194" s="194"/>
      <c r="B194" s="194"/>
    </row>
    <row r="195" spans="1:2">
      <c r="A195" s="194"/>
      <c r="B195" s="194"/>
    </row>
    <row r="196" spans="1:2">
      <c r="A196" s="194"/>
      <c r="B196" s="194"/>
    </row>
    <row r="197" spans="1:2">
      <c r="A197" s="194"/>
      <c r="B197" s="194"/>
    </row>
    <row r="198" spans="1:2">
      <c r="A198" s="194"/>
      <c r="B198" s="194"/>
    </row>
    <row r="199" spans="1:2">
      <c r="A199" s="194"/>
      <c r="B199" s="194"/>
    </row>
    <row r="200" spans="1:2">
      <c r="A200" s="194"/>
      <c r="B200" s="194"/>
    </row>
    <row r="201" spans="1:2">
      <c r="A201" s="194"/>
      <c r="B201" s="194"/>
    </row>
    <row r="202" spans="1:2">
      <c r="A202" s="194"/>
      <c r="B202" s="194"/>
    </row>
    <row r="203" spans="1:2">
      <c r="A203" s="194"/>
      <c r="B203" s="194"/>
    </row>
    <row r="204" spans="1:2">
      <c r="A204" s="194"/>
      <c r="B204" s="194"/>
    </row>
    <row r="205" spans="1:2">
      <c r="A205" s="194"/>
      <c r="B205" s="194"/>
    </row>
    <row r="206" spans="1:2">
      <c r="A206" s="194"/>
      <c r="B206" s="194"/>
    </row>
    <row r="207" spans="1:2">
      <c r="A207" s="194"/>
      <c r="B207" s="194"/>
    </row>
    <row r="208" spans="1:2">
      <c r="A208" s="194"/>
      <c r="B208" s="194"/>
    </row>
    <row r="209" spans="1:2">
      <c r="A209" s="194"/>
      <c r="B209" s="194"/>
    </row>
    <row r="210" spans="1:2">
      <c r="A210" s="194"/>
      <c r="B210" s="194"/>
    </row>
    <row r="211" spans="1:2">
      <c r="A211" s="194"/>
      <c r="B211" s="194"/>
    </row>
    <row r="212" spans="1:2">
      <c r="A212" s="194"/>
      <c r="B212" s="194"/>
    </row>
    <row r="213" spans="1:2">
      <c r="A213" s="194"/>
      <c r="B213" s="194"/>
    </row>
    <row r="214" spans="1:2">
      <c r="A214" s="194"/>
      <c r="B214" s="194"/>
    </row>
    <row r="215" spans="1:2">
      <c r="A215" s="194"/>
      <c r="B215" s="194"/>
    </row>
    <row r="216" spans="1:2">
      <c r="A216" s="194"/>
      <c r="B216" s="194"/>
    </row>
    <row r="217" spans="1:2">
      <c r="A217" s="194"/>
      <c r="B217" s="194"/>
    </row>
    <row r="218" spans="1:2">
      <c r="A218" s="194"/>
      <c r="B218" s="194"/>
    </row>
    <row r="219" spans="1:2">
      <c r="A219" s="194"/>
      <c r="B219" s="194"/>
    </row>
    <row r="220" spans="1:2">
      <c r="A220" s="194"/>
      <c r="B220" s="194"/>
    </row>
    <row r="221" spans="1:2">
      <c r="A221" s="194"/>
      <c r="B221" s="194"/>
    </row>
    <row r="222" spans="1:2">
      <c r="A222" s="194"/>
      <c r="B222" s="194"/>
    </row>
    <row r="223" spans="1:2">
      <c r="A223" s="194"/>
      <c r="B223" s="194"/>
    </row>
    <row r="224" spans="1:2">
      <c r="A224" s="194"/>
      <c r="B224" s="194"/>
    </row>
    <row r="225" spans="1:2">
      <c r="A225" s="194"/>
      <c r="B225" s="194"/>
    </row>
    <row r="226" spans="1:2">
      <c r="A226" s="194"/>
      <c r="B226" s="194"/>
    </row>
    <row r="227" spans="1:2">
      <c r="A227" s="194"/>
      <c r="B227" s="194"/>
    </row>
    <row r="228" spans="1:2">
      <c r="A228" s="194"/>
      <c r="B228" s="194"/>
    </row>
    <row r="229" spans="1:2">
      <c r="A229" s="194"/>
      <c r="B229" s="194"/>
    </row>
    <row r="230" spans="1:2">
      <c r="A230" s="194"/>
      <c r="B230" s="194"/>
    </row>
    <row r="231" spans="1:2">
      <c r="A231" s="194"/>
      <c r="B231" s="194"/>
    </row>
    <row r="232" spans="1:2">
      <c r="A232" s="194"/>
      <c r="B232" s="194"/>
    </row>
    <row r="233" spans="1:2">
      <c r="A233" s="194"/>
      <c r="B233" s="194"/>
    </row>
    <row r="234" spans="1:2">
      <c r="A234" s="194"/>
      <c r="B234" s="194"/>
    </row>
    <row r="235" spans="1:2">
      <c r="A235" s="194"/>
      <c r="B235" s="194"/>
    </row>
    <row r="236" spans="1:2">
      <c r="A236" s="194"/>
      <c r="B236" s="194"/>
    </row>
    <row r="237" spans="1:2">
      <c r="A237" s="194"/>
      <c r="B237" s="194"/>
    </row>
    <row r="238" spans="1:2">
      <c r="A238" s="194"/>
      <c r="B238" s="194"/>
    </row>
    <row r="239" spans="1:2">
      <c r="A239" s="194"/>
      <c r="B239" s="194"/>
    </row>
    <row r="240" spans="1:2">
      <c r="A240" s="194"/>
      <c r="B240" s="194"/>
    </row>
    <row r="241" spans="1:2">
      <c r="A241" s="194"/>
      <c r="B241" s="194"/>
    </row>
    <row r="242" spans="1:2">
      <c r="A242" s="194"/>
      <c r="B242" s="194"/>
    </row>
    <row r="243" spans="1:2">
      <c r="A243" s="194"/>
      <c r="B243" s="194"/>
    </row>
    <row r="244" spans="1:2">
      <c r="A244" s="194"/>
      <c r="B244" s="194"/>
    </row>
    <row r="245" spans="1:2">
      <c r="A245" s="194"/>
      <c r="B245" s="194"/>
    </row>
    <row r="246" spans="1:2">
      <c r="A246" s="194"/>
      <c r="B246" s="194"/>
    </row>
    <row r="247" spans="1:2">
      <c r="A247" s="194"/>
      <c r="B247" s="194"/>
    </row>
    <row r="248" spans="1:2">
      <c r="A248" s="194"/>
      <c r="B248" s="194"/>
    </row>
    <row r="249" spans="1:2">
      <c r="A249" s="194"/>
      <c r="B249" s="194"/>
    </row>
    <row r="250" spans="1:2">
      <c r="A250" s="194"/>
      <c r="B250" s="194"/>
    </row>
    <row r="251" spans="1:2">
      <c r="A251" s="194"/>
      <c r="B251" s="194"/>
    </row>
    <row r="252" spans="1:2">
      <c r="A252" s="194"/>
      <c r="B252" s="194"/>
    </row>
    <row r="253" spans="1:2">
      <c r="A253" s="194"/>
      <c r="B253" s="194"/>
    </row>
    <row r="254" spans="1:2">
      <c r="A254" s="194"/>
      <c r="B254" s="194"/>
    </row>
    <row r="255" spans="1:2">
      <c r="A255" s="194"/>
      <c r="B255" s="194"/>
    </row>
    <row r="256" spans="1:2">
      <c r="A256" s="194"/>
      <c r="B256" s="194"/>
    </row>
    <row r="257" spans="1:2">
      <c r="A257" s="194"/>
      <c r="B257" s="194"/>
    </row>
    <row r="258" spans="1:2">
      <c r="A258" s="194"/>
      <c r="B258" s="194"/>
    </row>
    <row r="259" spans="1:2">
      <c r="A259" s="194"/>
      <c r="B259" s="194"/>
    </row>
    <row r="260" spans="1:2">
      <c r="A260" s="194"/>
      <c r="B260" s="194"/>
    </row>
    <row r="261" spans="1:2">
      <c r="A261" s="194"/>
      <c r="B261" s="194"/>
    </row>
    <row r="262" spans="1:2">
      <c r="A262" s="194"/>
      <c r="B262" s="194"/>
    </row>
    <row r="263" spans="1:2">
      <c r="A263" s="194"/>
      <c r="B263" s="194"/>
    </row>
    <row r="264" spans="1:2">
      <c r="A264" s="194"/>
      <c r="B264" s="194"/>
    </row>
    <row r="265" spans="1:2">
      <c r="A265" s="194"/>
      <c r="B265" s="194"/>
    </row>
    <row r="266" spans="1:2">
      <c r="A266" s="194"/>
      <c r="B266" s="194"/>
    </row>
    <row r="267" spans="1:2">
      <c r="A267" s="194"/>
      <c r="B267" s="194"/>
    </row>
    <row r="268" spans="1:2">
      <c r="A268" s="194"/>
      <c r="B268" s="194"/>
    </row>
    <row r="269" spans="1:2">
      <c r="A269" s="194"/>
      <c r="B269" s="194"/>
    </row>
    <row r="270" spans="1:2">
      <c r="A270" s="194"/>
      <c r="B270" s="194"/>
    </row>
    <row r="271" spans="1:2">
      <c r="A271" s="194"/>
      <c r="B271" s="194"/>
    </row>
    <row r="272" spans="1:2">
      <c r="A272" s="194"/>
      <c r="B272" s="194"/>
    </row>
    <row r="273" spans="1:2">
      <c r="A273" s="194"/>
      <c r="B273" s="194"/>
    </row>
    <row r="274" spans="1:2">
      <c r="A274" s="194"/>
      <c r="B274" s="194"/>
    </row>
    <row r="275" spans="1:2">
      <c r="A275" s="194"/>
      <c r="B275" s="194"/>
    </row>
    <row r="276" spans="1:2">
      <c r="A276" s="194"/>
      <c r="B276" s="194"/>
    </row>
    <row r="277" spans="1:2">
      <c r="A277" s="194"/>
      <c r="B277" s="194"/>
    </row>
    <row r="278" spans="1:2">
      <c r="A278" s="194"/>
      <c r="B278" s="194"/>
    </row>
    <row r="279" spans="1:2">
      <c r="A279" s="194"/>
      <c r="B279" s="194"/>
    </row>
    <row r="280" spans="1:2">
      <c r="A280" s="194"/>
      <c r="B280" s="194"/>
    </row>
    <row r="281" spans="1:2">
      <c r="A281" s="194"/>
      <c r="B281" s="194"/>
    </row>
    <row r="282" spans="1:2">
      <c r="A282" s="194"/>
      <c r="B282" s="194"/>
    </row>
    <row r="283" spans="1:2">
      <c r="A283" s="194"/>
      <c r="B283" s="194"/>
    </row>
    <row r="284" spans="1:2">
      <c r="A284" s="194"/>
      <c r="B284" s="194"/>
    </row>
    <row r="285" spans="1:2">
      <c r="A285" s="194"/>
      <c r="B285" s="194"/>
    </row>
    <row r="286" spans="1:2">
      <c r="A286" s="194"/>
      <c r="B286" s="194"/>
    </row>
    <row r="287" spans="1:2">
      <c r="A287" s="194"/>
      <c r="B287" s="194"/>
    </row>
    <row r="288" spans="1:2">
      <c r="A288" s="194"/>
      <c r="B288" s="194"/>
    </row>
    <row r="289" spans="1:2">
      <c r="A289" s="194"/>
      <c r="B289" s="194"/>
    </row>
    <row r="290" spans="1:2">
      <c r="A290" s="194"/>
      <c r="B290" s="194"/>
    </row>
    <row r="291" spans="1:2">
      <c r="A291" s="194"/>
      <c r="B291" s="194"/>
    </row>
    <row r="292" spans="1:2">
      <c r="A292" s="194"/>
      <c r="B292" s="194"/>
    </row>
    <row r="293" spans="1:2">
      <c r="A293" s="194"/>
      <c r="B293" s="194"/>
    </row>
    <row r="294" spans="1:2">
      <c r="A294" s="194"/>
      <c r="B294" s="194"/>
    </row>
    <row r="295" spans="1:2">
      <c r="A295" s="194"/>
      <c r="B295" s="194"/>
    </row>
    <row r="296" spans="1:2">
      <c r="A296" s="194"/>
      <c r="B296" s="194"/>
    </row>
    <row r="297" spans="1:2">
      <c r="A297" s="194"/>
      <c r="B297" s="194"/>
    </row>
    <row r="298" spans="1:2">
      <c r="A298" s="194"/>
      <c r="B298" s="194"/>
    </row>
    <row r="299" spans="1:2">
      <c r="A299" s="194"/>
      <c r="B299" s="194"/>
    </row>
    <row r="300" spans="1:2">
      <c r="A300" s="194"/>
      <c r="B300" s="194"/>
    </row>
    <row r="301" spans="1:2">
      <c r="A301" s="194"/>
      <c r="B301" s="194"/>
    </row>
  </sheetData>
  <mergeCells count="8">
    <mergeCell ref="F9:I9"/>
    <mergeCell ref="A9:A10"/>
    <mergeCell ref="B9:E9"/>
    <mergeCell ref="A1:F1"/>
    <mergeCell ref="A6:F6"/>
    <mergeCell ref="A7:B7"/>
    <mergeCell ref="A2:C2"/>
    <mergeCell ref="A3:A4"/>
  </mergeCells>
  <pageMargins left="0.7" right="0.7" top="0.75" bottom="0.75" header="0.3" footer="0.3"/>
  <pageSetup paperSize="9" orientation="portrait" verticalDpi="4294967293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21"/>
  <sheetViews>
    <sheetView workbookViewId="0">
      <selection activeCell="D4" sqref="D4"/>
    </sheetView>
  </sheetViews>
  <sheetFormatPr baseColWidth="10" defaultColWidth="8.83203125" defaultRowHeight="15"/>
  <cols>
    <col min="1" max="1" width="34.6640625" bestFit="1" customWidth="1"/>
    <col min="2" max="2" width="8.83203125" customWidth="1"/>
    <col min="3" max="3" width="13" customWidth="1"/>
    <col min="4" max="7" width="12.6640625" bestFit="1" customWidth="1"/>
    <col min="8" max="9" width="15.5" bestFit="1" customWidth="1"/>
    <col min="10" max="13" width="12.6640625" bestFit="1" customWidth="1"/>
    <col min="14" max="28" width="13.1640625" bestFit="1" customWidth="1"/>
  </cols>
  <sheetData>
    <row r="1" spans="1:28">
      <c r="A1" s="516" t="s">
        <v>473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127"/>
      <c r="O1" s="127"/>
    </row>
    <row r="2" spans="1:28">
      <c r="A2" s="115"/>
      <c r="B2" s="115"/>
      <c r="C2" s="116" t="s">
        <v>189</v>
      </c>
      <c r="D2" s="116" t="s">
        <v>190</v>
      </c>
      <c r="E2" s="116" t="s">
        <v>191</v>
      </c>
      <c r="F2" s="116" t="s">
        <v>192</v>
      </c>
      <c r="G2" s="116" t="s">
        <v>193</v>
      </c>
      <c r="H2" s="116" t="s">
        <v>194</v>
      </c>
      <c r="I2" s="116" t="s">
        <v>195</v>
      </c>
      <c r="J2" s="116" t="s">
        <v>196</v>
      </c>
      <c r="K2" s="116" t="s">
        <v>197</v>
      </c>
      <c r="L2" s="116" t="s">
        <v>198</v>
      </c>
      <c r="M2" s="116" t="s">
        <v>199</v>
      </c>
      <c r="N2" s="116" t="s">
        <v>210</v>
      </c>
      <c r="O2" s="116" t="s">
        <v>211</v>
      </c>
      <c r="P2" s="116" t="s">
        <v>212</v>
      </c>
      <c r="Q2" s="116" t="s">
        <v>213</v>
      </c>
      <c r="R2" s="116" t="s">
        <v>214</v>
      </c>
      <c r="S2" s="116" t="s">
        <v>215</v>
      </c>
      <c r="T2" s="116" t="s">
        <v>216</v>
      </c>
      <c r="U2" s="116" t="s">
        <v>217</v>
      </c>
      <c r="V2" s="116" t="s">
        <v>218</v>
      </c>
      <c r="W2" s="116" t="s">
        <v>219</v>
      </c>
      <c r="X2" s="116" t="s">
        <v>220</v>
      </c>
      <c r="Y2" s="116" t="s">
        <v>221</v>
      </c>
      <c r="Z2" s="116" t="s">
        <v>222</v>
      </c>
      <c r="AA2" s="116" t="s">
        <v>223</v>
      </c>
      <c r="AB2" s="116" t="s">
        <v>224</v>
      </c>
    </row>
    <row r="3" spans="1:28">
      <c r="A3" s="117" t="s">
        <v>200</v>
      </c>
      <c r="B3" s="117"/>
      <c r="C3" s="118"/>
      <c r="D3" s="118">
        <f t="shared" ref="D3:AB3" si="0">SUM(D4:D7)</f>
        <v>15226997.082674347</v>
      </c>
      <c r="E3" s="118">
        <f t="shared" si="0"/>
        <v>16409199.674572252</v>
      </c>
      <c r="F3" s="118">
        <f t="shared" si="0"/>
        <v>17683213.522500861</v>
      </c>
      <c r="G3" s="118">
        <f t="shared" si="0"/>
        <v>19056176.514975503</v>
      </c>
      <c r="H3" s="118">
        <f t="shared" si="0"/>
        <v>20535767.200113244</v>
      </c>
      <c r="I3" s="118">
        <f t="shared" si="0"/>
        <v>22130276.057935175</v>
      </c>
      <c r="J3" s="118">
        <f t="shared" si="0"/>
        <v>23848629.699060164</v>
      </c>
      <c r="K3" s="118">
        <f t="shared" si="0"/>
        <v>25700448.231819414</v>
      </c>
      <c r="L3" s="118">
        <f t="shared" si="0"/>
        <v>27696099.096191693</v>
      </c>
      <c r="M3" s="118">
        <f t="shared" si="0"/>
        <v>29846760.019700862</v>
      </c>
      <c r="N3" s="118">
        <f t="shared" si="0"/>
        <v>32164472.372267526</v>
      </c>
      <c r="O3" s="118">
        <f t="shared" si="0"/>
        <v>34662214.242354773</v>
      </c>
      <c r="P3" s="118">
        <f t="shared" si="0"/>
        <v>37353976.029265672</v>
      </c>
      <c r="Q3" s="118">
        <f t="shared" si="0"/>
        <v>40254837.122443989</v>
      </c>
      <c r="R3" s="118">
        <f t="shared" si="0"/>
        <v>43381027.669537328</v>
      </c>
      <c r="S3" s="118">
        <f t="shared" si="0"/>
        <v>46750074.912481681</v>
      </c>
      <c r="T3" s="118">
        <f t="shared" si="0"/>
        <v>50380838.267546162</v>
      </c>
      <c r="U3" s="118">
        <f t="shared" si="0"/>
        <v>54293658.934513099</v>
      </c>
      <c r="V3" s="118">
        <f t="shared" si="0"/>
        <v>58510449.392352872</v>
      </c>
      <c r="W3" s="118">
        <f t="shared" si="0"/>
        <v>63054835.888470151</v>
      </c>
      <c r="X3" s="118">
        <f t="shared" si="0"/>
        <v>67952269.356866434</v>
      </c>
      <c r="Y3" s="118">
        <f t="shared" si="0"/>
        <v>73230180.374956176</v>
      </c>
      <c r="Z3" s="118">
        <f t="shared" si="0"/>
        <v>78918150.829727978</v>
      </c>
      <c r="AA3" s="118">
        <f t="shared" si="0"/>
        <v>85048031.939299881</v>
      </c>
      <c r="AB3" s="118">
        <f t="shared" si="0"/>
        <v>91654165.747270048</v>
      </c>
    </row>
    <row r="4" spans="1:28">
      <c r="A4" s="121" t="s">
        <v>691</v>
      </c>
      <c r="B4" s="121"/>
      <c r="C4" s="120"/>
      <c r="D4" s="120">
        <f>Receitas!F25</f>
        <v>7207059.2941740602</v>
      </c>
      <c r="E4" s="120">
        <f>Receitas!G25</f>
        <v>7768204.6442149244</v>
      </c>
      <c r="F4" s="120">
        <f>Receitas!H25</f>
        <v>8373041.0158352917</v>
      </c>
      <c r="G4" s="120">
        <f>Receitas!I25</f>
        <v>9024970.5720677618</v>
      </c>
      <c r="H4" s="120">
        <f>Receitas!J25</f>
        <v>9727659.2026249096</v>
      </c>
      <c r="I4" s="120">
        <f>Receitas!K25</f>
        <v>10485059.93872278</v>
      </c>
      <c r="J4" s="120">
        <f>Receitas!L25</f>
        <v>11301432.023047758</v>
      </c>
      <c r="K4" s="120">
        <f>Receitas!M25</f>
        <v>12181367.600723222</v>
      </c>
      <c r="L4" s="120">
        <f>Receitas!N25</f>
        <v>13129815.25805684</v>
      </c>
      <c r="M4" s="120">
        <f>Receitas!O25</f>
        <v>14152109.555276103</v>
      </c>
      <c r="N4" s="120">
        <f>Receitas!P25</f>
        <v>15253999.92979379</v>
      </c>
      <c r="O4" s="120">
        <f>Receitas!Q25</f>
        <v>16441684.302151743</v>
      </c>
      <c r="P4" s="120">
        <f>Receitas!R25</f>
        <v>17721842.689518992</v>
      </c>
      <c r="Q4" s="120">
        <f>Receitas!S25</f>
        <v>19101674.598900665</v>
      </c>
      <c r="R4" s="120">
        <f>Receitas!T25</f>
        <v>20588940.477101412</v>
      </c>
      <c r="S4" s="120">
        <f>Receitas!U25</f>
        <v>22192006.128872558</v>
      </c>
      <c r="T4" s="120">
        <f>Receitas!V25</f>
        <v>23919887.48055248</v>
      </c>
      <c r="U4" s="120">
        <f>Receitas!W25</f>
        <v>25782302.268734332</v>
      </c>
      <c r="V4" s="120">
        <f>Receitas!X25</f>
        <v>27789725.40932681</v>
      </c>
      <c r="W4" s="120">
        <f>Receitas!Y25</f>
        <v>29953448.111889143</v>
      </c>
      <c r="X4" s="120">
        <f>Receitas!Z25</f>
        <v>32285639.001551997</v>
      </c>
      <c r="Y4" s="120">
        <f>Receitas!AA25</f>
        <v>34799415.688729063</v>
      </c>
      <c r="Z4" s="120">
        <f>Receitas!AB25</f>
        <v>37508916.094684526</v>
      </c>
      <c r="AA4" s="120">
        <f>Receitas!AC25</f>
        <v>40429380.804076038</v>
      </c>
      <c r="AB4" s="120">
        <f>Receitas!AD25</f>
        <v>43577232.578695036</v>
      </c>
    </row>
    <row r="5" spans="1:28">
      <c r="A5" s="121" t="s">
        <v>690</v>
      </c>
      <c r="B5" s="121"/>
      <c r="C5" s="120"/>
      <c r="D5" s="120">
        <f>Receitas!F28</f>
        <v>390234.24</v>
      </c>
      <c r="E5" s="120">
        <f>Receitas!G28</f>
        <v>417238.44940799999</v>
      </c>
      <c r="F5" s="120">
        <f>Receitas!H28</f>
        <v>446111.3501070335</v>
      </c>
      <c r="G5" s="120">
        <f>Receitas!I28</f>
        <v>476982.25553444016</v>
      </c>
      <c r="H5" s="120">
        <f>Receitas!J28</f>
        <v>509989.42761742335</v>
      </c>
      <c r="I5" s="120">
        <f>Receitas!K28</f>
        <v>545280.69600854896</v>
      </c>
      <c r="J5" s="120">
        <f>Receitas!L28</f>
        <v>583014.12017234042</v>
      </c>
      <c r="K5" s="120">
        <f>Receitas!M28</f>
        <v>623358.69728826638</v>
      </c>
      <c r="L5" s="120">
        <f>Receitas!N28</f>
        <v>666495.11914061429</v>
      </c>
      <c r="M5" s="120">
        <f>Receitas!O28</f>
        <v>712616.58138514473</v>
      </c>
      <c r="N5" s="120">
        <f>Receitas!P28</f>
        <v>761929.64881699672</v>
      </c>
      <c r="O5" s="120">
        <f>Receitas!Q28</f>
        <v>814655.18051513284</v>
      </c>
      <c r="P5" s="120">
        <f>Receitas!R28</f>
        <v>871029.31900677981</v>
      </c>
      <c r="Q5" s="120">
        <f>Receitas!S28</f>
        <v>931304.54788204888</v>
      </c>
      <c r="R5" s="120">
        <f>Receitas!T28</f>
        <v>995750.82259548653</v>
      </c>
      <c r="S5" s="120">
        <f>Receitas!U28</f>
        <v>1064656.7795190942</v>
      </c>
      <c r="T5" s="120">
        <f>Receitas!V28</f>
        <v>1138331.0286618154</v>
      </c>
      <c r="U5" s="120">
        <f>Receitas!W28</f>
        <v>1217103.5358452129</v>
      </c>
      <c r="V5" s="120">
        <f>Receitas!X28</f>
        <v>1301327.1005257014</v>
      </c>
      <c r="W5" s="120">
        <f>Receitas!Y28</f>
        <v>1391378.9358820799</v>
      </c>
      <c r="X5" s="120">
        <f>Receitas!Z28</f>
        <v>1487662.3582451195</v>
      </c>
      <c r="Y5" s="120">
        <f>Receitas!AA28</f>
        <v>1590608.5934356817</v>
      </c>
      <c r="Z5" s="120">
        <f>Receitas!AB28</f>
        <v>1700678.7081014304</v>
      </c>
      <c r="AA5" s="120">
        <f>Receitas!AC28</f>
        <v>1818365.6747020495</v>
      </c>
      <c r="AB5" s="120">
        <f>Receitas!AD28</f>
        <v>1944196.5793914308</v>
      </c>
    </row>
    <row r="6" spans="1:28">
      <c r="A6" s="121" t="s">
        <v>201</v>
      </c>
      <c r="B6" s="121"/>
      <c r="C6" s="120"/>
      <c r="D6" s="120">
        <f>Receitas!F26</f>
        <v>6786981.9954874869</v>
      </c>
      <c r="E6" s="120">
        <f>Receitas!G26</f>
        <v>7315420.4228850864</v>
      </c>
      <c r="F6" s="120">
        <f>Receitas!H26</f>
        <v>7885001.3538894514</v>
      </c>
      <c r="G6" s="120">
        <f>Receitas!I26</f>
        <v>8498933.9221841581</v>
      </c>
      <c r="H6" s="120">
        <f>Receitas!J26</f>
        <v>9160663.3972434197</v>
      </c>
      <c r="I6" s="120">
        <f>Receitas!K26</f>
        <v>9873917.5126142744</v>
      </c>
      <c r="J6" s="120">
        <f>Receitas!L26</f>
        <v>10642707.003387935</v>
      </c>
      <c r="K6" s="120">
        <f>Receitas!M26</f>
        <v>11471354.60820858</v>
      </c>
      <c r="L6" s="120">
        <f>Receitas!N26</f>
        <v>12364519.317572506</v>
      </c>
      <c r="M6" s="120">
        <f>Receitas!O26</f>
        <v>13327227.69625072</v>
      </c>
      <c r="N6" s="120">
        <f>Receitas!P26</f>
        <v>14364892.735824468</v>
      </c>
      <c r="O6" s="120">
        <f>Receitas!Q26</f>
        <v>15483348.461743899</v>
      </c>
      <c r="P6" s="120">
        <f>Receitas!R26</f>
        <v>16688888.994981147</v>
      </c>
      <c r="Q6" s="120">
        <f>Receitas!S26</f>
        <v>17988299.216882471</v>
      </c>
      <c r="R6" s="120">
        <f>Receitas!T26</f>
        <v>19388871.298561651</v>
      </c>
      <c r="S6" s="120">
        <f>Receitas!U26</f>
        <v>20898500.508066423</v>
      </c>
      <c r="T6" s="120">
        <f>Receitas!V26</f>
        <v>22525667.451303739</v>
      </c>
      <c r="U6" s="120">
        <f>Receitas!W26</f>
        <v>24279528.449992031</v>
      </c>
      <c r="V6" s="120">
        <f>Receitas!X26</f>
        <v>26169944.138398264</v>
      </c>
      <c r="W6" s="120">
        <f>Receitas!Y26</f>
        <v>28207552.135743659</v>
      </c>
      <c r="X6" s="120">
        <f>Receitas!Z26</f>
        <v>30403808.445269603</v>
      </c>
      <c r="Y6" s="120">
        <f>Receitas!AA26</f>
        <v>32771059.967990994</v>
      </c>
      <c r="Z6" s="120">
        <f>Receitas!AB26</f>
        <v>35322638.486020274</v>
      </c>
      <c r="AA6" s="120">
        <f>Receitas!AC26</f>
        <v>38072877.565802582</v>
      </c>
      <c r="AB6" s="120">
        <f>Receitas!AD26</f>
        <v>41037251.170443997</v>
      </c>
    </row>
    <row r="7" spans="1:28">
      <c r="A7" s="121" t="s">
        <v>202</v>
      </c>
      <c r="B7" s="121"/>
      <c r="C7" s="120"/>
      <c r="D7" s="120">
        <f>Receitas!F27</f>
        <v>842721.55301280005</v>
      </c>
      <c r="E7" s="120">
        <f>Receitas!G27</f>
        <v>908336.15806424036</v>
      </c>
      <c r="F7" s="120">
        <f>Receitas!H27</f>
        <v>979059.80266908405</v>
      </c>
      <c r="G7" s="120">
        <f>Receitas!I27</f>
        <v>1055289.7651891403</v>
      </c>
      <c r="H7" s="120">
        <f>Receitas!J27</f>
        <v>1137455.1726274928</v>
      </c>
      <c r="I7" s="120">
        <f>Receitas!K27</f>
        <v>1226017.9105895734</v>
      </c>
      <c r="J7" s="120">
        <f>Receitas!L27</f>
        <v>1321476.5524521321</v>
      </c>
      <c r="K7" s="120">
        <f>Receitas!M27</f>
        <v>1424367.325599344</v>
      </c>
      <c r="L7" s="120">
        <f>Receitas!N27</f>
        <v>1535269.4014217334</v>
      </c>
      <c r="M7" s="120">
        <f>Receitas!O27</f>
        <v>1654806.1867888942</v>
      </c>
      <c r="N7" s="120">
        <f>Receitas!P27</f>
        <v>1783650.057832272</v>
      </c>
      <c r="O7" s="120">
        <f>Receitas!Q27</f>
        <v>1922526.2979439972</v>
      </c>
      <c r="P7" s="120">
        <f>Receitas!R27</f>
        <v>2072215.0257587614</v>
      </c>
      <c r="Q7" s="120">
        <f>Receitas!S27</f>
        <v>2233558.7587788031</v>
      </c>
      <c r="R7" s="120">
        <f>Receitas!T27</f>
        <v>2407465.0712787719</v>
      </c>
      <c r="S7" s="120">
        <f>Receitas!U27</f>
        <v>2594911.4960235995</v>
      </c>
      <c r="T7" s="120">
        <f>Receitas!V27</f>
        <v>2796952.3070281334</v>
      </c>
      <c r="U7" s="120">
        <f>Receitas!W27</f>
        <v>3014724.679941528</v>
      </c>
      <c r="V7" s="120">
        <f>Receitas!X27</f>
        <v>3249452.7441021013</v>
      </c>
      <c r="W7" s="120">
        <f>Receitas!Y27</f>
        <v>3502456.7049552728</v>
      </c>
      <c r="X7" s="120">
        <f>Receitas!Z27</f>
        <v>3775159.5517997211</v>
      </c>
      <c r="Y7" s="120">
        <f>Receitas!AA27</f>
        <v>4069096.1248004246</v>
      </c>
      <c r="Z7" s="120">
        <f>Receitas!AB27</f>
        <v>4385917.5409217523</v>
      </c>
      <c r="AA7" s="120">
        <f>Receitas!AC27</f>
        <v>4727407.8947192067</v>
      </c>
      <c r="AB7" s="120">
        <f>Receitas!AD27</f>
        <v>5095485.4187395833</v>
      </c>
    </row>
    <row r="8" spans="1:28">
      <c r="A8" s="117" t="s">
        <v>203</v>
      </c>
      <c r="B8" s="117"/>
      <c r="C8" s="118"/>
      <c r="D8" s="118">
        <f>SUM(D9:D12)</f>
        <v>-9459646.8409372959</v>
      </c>
      <c r="E8" s="118">
        <f>SUM(E9:E12)</f>
        <v>-11410268.062180007</v>
      </c>
      <c r="F8" s="118">
        <f t="shared" ref="F8:AB8" si="1">SUM(F9:F12)</f>
        <v>-12167954.553872088</v>
      </c>
      <c r="G8" s="118">
        <f t="shared" si="1"/>
        <v>-12976862.077067398</v>
      </c>
      <c r="H8" s="118">
        <f t="shared" si="1"/>
        <v>-13840511.973855987</v>
      </c>
      <c r="I8" s="118">
        <f t="shared" si="1"/>
        <v>-14762676.316690365</v>
      </c>
      <c r="J8" s="118">
        <f t="shared" si="1"/>
        <v>-15747389.090548463</v>
      </c>
      <c r="K8" s="118">
        <f t="shared" si="1"/>
        <v>-16798966.783581618</v>
      </c>
      <c r="L8" s="118">
        <f t="shared" si="1"/>
        <v>-17922028.851475637</v>
      </c>
      <c r="M8" s="118">
        <f t="shared" si="1"/>
        <v>-19121520.512589689</v>
      </c>
      <c r="N8" s="118">
        <f t="shared" si="1"/>
        <v>-19920624.309932519</v>
      </c>
      <c r="O8" s="118">
        <f t="shared" si="1"/>
        <v>-21771330.916909873</v>
      </c>
      <c r="P8" s="118">
        <f t="shared" si="1"/>
        <v>-23233377.840582993</v>
      </c>
      <c r="Q8" s="118">
        <f t="shared" si="1"/>
        <v>-24795366.419705752</v>
      </c>
      <c r="R8" s="118">
        <f t="shared" si="1"/>
        <v>-26464240.790257145</v>
      </c>
      <c r="S8" s="118">
        <f t="shared" si="1"/>
        <v>-28247446.466489878</v>
      </c>
      <c r="T8" s="118">
        <f t="shared" si="1"/>
        <v>-30152946.505447973</v>
      </c>
      <c r="U8" s="118">
        <f t="shared" si="1"/>
        <v>-32189272.576122526</v>
      </c>
      <c r="V8" s="118">
        <f t="shared" si="1"/>
        <v>-34365557.800568961</v>
      </c>
      <c r="W8" s="118">
        <f t="shared" si="1"/>
        <v>-36691586.191095732</v>
      </c>
      <c r="X8" s="118">
        <f t="shared" si="1"/>
        <v>-39177833.015470922</v>
      </c>
      <c r="Y8" s="118">
        <f t="shared" si="1"/>
        <v>-41835518.050965272</v>
      </c>
      <c r="Z8" s="118">
        <f t="shared" si="1"/>
        <v>-44676665.099385872</v>
      </c>
      <c r="AA8" s="118">
        <f t="shared" si="1"/>
        <v>-47714144.395295024</v>
      </c>
      <c r="AB8" s="118">
        <f t="shared" si="1"/>
        <v>-50961748.513433464</v>
      </c>
    </row>
    <row r="9" spans="1:28">
      <c r="A9" s="122" t="s">
        <v>204</v>
      </c>
      <c r="B9" s="122"/>
      <c r="C9" s="129"/>
      <c r="D9" s="120">
        <f>-'Custos de Operação'!C35-Pessoal!C84</f>
        <v>-7389702.4064301606</v>
      </c>
      <c r="E9" s="120">
        <f>-'Custos de Operação'!D35-Pessoal!D84</f>
        <v>-7840829.9992344668</v>
      </c>
      <c r="F9" s="120">
        <f>-'Custos de Operação'!E35-Pessoal!E84</f>
        <v>-8319687.7362464052</v>
      </c>
      <c r="G9" s="120">
        <f>-'Custos de Operação'!F35-Pessoal!F84</f>
        <v>-8827992.5948912278</v>
      </c>
      <c r="H9" s="120">
        <f>-'Custos de Operação'!G35-Pessoal!G84</f>
        <v>-9367568.6746107433</v>
      </c>
      <c r="I9" s="120">
        <f>-'Custos de Operação'!H35-Pessoal!H84</f>
        <v>-9940353.932692511</v>
      </c>
      <c r="J9" s="120">
        <f>-'Custos de Operação'!I35-Pessoal!I84</f>
        <v>-10548407.347019283</v>
      </c>
      <c r="K9" s="120">
        <f>-'Custos de Operação'!J35-Pessoal!J84</f>
        <v>-11193916.533011945</v>
      </c>
      <c r="L9" s="120">
        <f>-'Custos de Operação'!K35-Pessoal!K84</f>
        <v>-11879205.843795121</v>
      </c>
      <c r="M9" s="120">
        <f>-'Custos de Operação'!L35-Pessoal!L84</f>
        <v>-12606744.98448435</v>
      </c>
      <c r="N9" s="120">
        <f>-'Custos de Operação'!M35-Pessoal!M84</f>
        <v>-13379158.173484962</v>
      </c>
      <c r="O9" s="120">
        <f>-'Custos de Operação'!N35-Pessoal!N84</f>
        <v>-14199233.885813121</v>
      </c>
      <c r="P9" s="120">
        <f>-'Custos de Operação'!O35-Pessoal!O84</f>
        <v>-15069935.215707647</v>
      </c>
      <c r="Q9" s="120">
        <f>-'Custos de Operação'!P35-Pessoal!P84</f>
        <v>-15994410.898206158</v>
      </c>
      <c r="R9" s="120">
        <f>-'Custos de Operação'!Q35-Pessoal!Q84</f>
        <v>-16976007.031920157</v>
      </c>
      <c r="S9" s="120">
        <f>-'Custos de Operação'!R35-Pessoal!R84</f>
        <v>-18018279.547971584</v>
      </c>
      <c r="T9" s="120">
        <f>-'Custos de Operação'!S35-Pessoal!S84</f>
        <v>-19125007.47295849</v>
      </c>
      <c r="U9" s="120">
        <f>-'Custos de Operação'!T35-Pessoal!T84</f>
        <v>-20300207.036911972</v>
      </c>
      <c r="V9" s="120">
        <f>-'Custos de Operação'!U35-Pessoal!U84</f>
        <v>-21548146.68050218</v>
      </c>
      <c r="W9" s="120">
        <f>-'Custos de Operação'!V35-Pessoal!V84</f>
        <v>-22873363.019262053</v>
      </c>
      <c r="X9" s="120">
        <f>-'Custos de Operação'!W35-Pessoal!W84</f>
        <v>-24280677.826336473</v>
      </c>
      <c r="Y9" s="120">
        <f>-'Custos de Operação'!X35-Pessoal!X84</f>
        <v>-25775216.099248029</v>
      </c>
      <c r="Z9" s="120">
        <f>-'Custos de Operação'!Y35-Pessoal!Y84</f>
        <v>-27362425.280413423</v>
      </c>
      <c r="AA9" s="120">
        <f>-'Custos de Operação'!Z35-Pessoal!Z84</f>
        <v>-29048095.7056644</v>
      </c>
      <c r="AB9" s="120">
        <f>-'Custos de Operação'!AA35-Pessoal!AA84</f>
        <v>-30838382.359842252</v>
      </c>
    </row>
    <row r="10" spans="1:28">
      <c r="A10" s="119" t="s">
        <v>472</v>
      </c>
      <c r="B10" s="128"/>
      <c r="C10" s="120">
        <f>Impostos!C24</f>
        <v>0</v>
      </c>
      <c r="D10" s="120">
        <f>Impostos!D24</f>
        <v>-1753211.3154387549</v>
      </c>
      <c r="E10" s="120">
        <f>Impostos!E24</f>
        <v>-3228162.2136619585</v>
      </c>
      <c r="F10" s="120">
        <f>Impostos!F24</f>
        <v>-3480545.5748132123</v>
      </c>
      <c r="G10" s="120">
        <f>Impostos!G24</f>
        <v>-3752652.4213140607</v>
      </c>
      <c r="H10" s="120">
        <f>Impostos!H24</f>
        <v>-4046021.2233200283</v>
      </c>
      <c r="I10" s="120">
        <f>Impostos!I24</f>
        <v>-4362314.5201318059</v>
      </c>
      <c r="J10" s="120">
        <f>Impostos!J24</f>
        <v>-4703322.664753506</v>
      </c>
      <c r="K10" s="120">
        <f>Impostos!K24</f>
        <v>-5070975.5904776929</v>
      </c>
      <c r="L10" s="120">
        <f>Impostos!L24</f>
        <v>-5467353.9970555129</v>
      </c>
      <c r="M10" s="120">
        <f>Impostos!M24</f>
        <v>-5894702.214074092</v>
      </c>
      <c r="N10" s="120">
        <f>Impostos!N24</f>
        <v>-5873329.6013120068</v>
      </c>
      <c r="O10" s="120">
        <f>Impostos!O24</f>
        <v>-6852170.0616788855</v>
      </c>
      <c r="P10" s="120">
        <f>Impostos!P24</f>
        <v>-7387708.7445366168</v>
      </c>
      <c r="Q10" s="120">
        <f>Impostos!Q24</f>
        <v>-7965086.4601810733</v>
      </c>
      <c r="R10" s="120">
        <f>Impostos!R24</f>
        <v>-8587566.004216224</v>
      </c>
      <c r="S10" s="120">
        <f>Impostos!S24</f>
        <v>-9258674.4804476127</v>
      </c>
      <c r="T10" s="120">
        <f>Impostos!T24</f>
        <v>-9982206.317541942</v>
      </c>
      <c r="U10" s="120">
        <f>Impostos!U24</f>
        <v>-10762256.544564627</v>
      </c>
      <c r="V10" s="120">
        <f>Impostos!V24</f>
        <v>-11603237.153614236</v>
      </c>
      <c r="W10" s="120">
        <f>Impostos!W24</f>
        <v>-12509907.359093901</v>
      </c>
      <c r="X10" s="120">
        <f>Impostos!X24</f>
        <v>-13487394.931690687</v>
      </c>
      <c r="Y10" s="120">
        <f>Impostos!Y24</f>
        <v>-14541228.109255647</v>
      </c>
      <c r="Z10" s="120">
        <f>Impostos!Z24</f>
        <v>-15677372.022772508</v>
      </c>
      <c r="AA10" s="120">
        <f>Impostos!AA24</f>
        <v>-16902248.995877407</v>
      </c>
      <c r="AB10" s="120">
        <f>Impostos!AB24</f>
        <v>-18222787.329797618</v>
      </c>
    </row>
    <row r="11" spans="1:28" s="39" customFormat="1">
      <c r="A11" s="119" t="s">
        <v>763</v>
      </c>
      <c r="B11" s="359">
        <v>5.0000000000000001E-3</v>
      </c>
      <c r="C11" s="120"/>
      <c r="D11" s="120">
        <f>-D3*$B$11</f>
        <v>-76134.985413371731</v>
      </c>
      <c r="E11" s="120">
        <f t="shared" ref="E11:AB11" si="2">-E3*$B$11</f>
        <v>-82045.998372861257</v>
      </c>
      <c r="F11" s="120">
        <f t="shared" si="2"/>
        <v>-88416.06761250431</v>
      </c>
      <c r="G11" s="120">
        <f t="shared" si="2"/>
        <v>-95280.882574877513</v>
      </c>
      <c r="H11" s="120">
        <f t="shared" si="2"/>
        <v>-102678.83600056623</v>
      </c>
      <c r="I11" s="120">
        <f t="shared" si="2"/>
        <v>-110651.38028967587</v>
      </c>
      <c r="J11" s="120">
        <f t="shared" si="2"/>
        <v>-119243.14849530082</v>
      </c>
      <c r="K11" s="120">
        <f t="shared" si="2"/>
        <v>-128502.24115909707</v>
      </c>
      <c r="L11" s="120">
        <f t="shared" si="2"/>
        <v>-138480.49548095846</v>
      </c>
      <c r="M11" s="120">
        <f t="shared" si="2"/>
        <v>-149233.80009850432</v>
      </c>
      <c r="N11" s="120">
        <f t="shared" si="2"/>
        <v>-160822.36186133765</v>
      </c>
      <c r="O11" s="120">
        <f t="shared" si="2"/>
        <v>-173311.07121177387</v>
      </c>
      <c r="P11" s="120">
        <f t="shared" si="2"/>
        <v>-186769.88014632836</v>
      </c>
      <c r="Q11" s="120">
        <f t="shared" si="2"/>
        <v>-201274.18561221994</v>
      </c>
      <c r="R11" s="120">
        <f t="shared" si="2"/>
        <v>-216905.13834768665</v>
      </c>
      <c r="S11" s="120">
        <f t="shared" si="2"/>
        <v>-233750.3745624084</v>
      </c>
      <c r="T11" s="120">
        <f t="shared" si="2"/>
        <v>-251904.19133773082</v>
      </c>
      <c r="U11" s="120">
        <f t="shared" si="2"/>
        <v>-271468.29467256548</v>
      </c>
      <c r="V11" s="120">
        <f t="shared" si="2"/>
        <v>-292552.24696176435</v>
      </c>
      <c r="W11" s="120">
        <f t="shared" si="2"/>
        <v>-315274.17944235075</v>
      </c>
      <c r="X11" s="120">
        <f t="shared" si="2"/>
        <v>-339761.34678433219</v>
      </c>
      <c r="Y11" s="120">
        <f t="shared" si="2"/>
        <v>-366150.90187478089</v>
      </c>
      <c r="Z11" s="120">
        <f t="shared" si="2"/>
        <v>-394590.75414863991</v>
      </c>
      <c r="AA11" s="120">
        <f t="shared" si="2"/>
        <v>-425240.15969649941</v>
      </c>
      <c r="AB11" s="120">
        <f t="shared" si="2"/>
        <v>-458270.82873635023</v>
      </c>
    </row>
    <row r="12" spans="1:28">
      <c r="A12" s="124" t="s">
        <v>209</v>
      </c>
      <c r="B12" s="128">
        <v>0.03</v>
      </c>
      <c r="C12" s="120">
        <f>-$B$12*C3</f>
        <v>0</v>
      </c>
      <c r="D12" s="120">
        <f t="shared" ref="D12:AB12" si="3">-$B$12*SUM(D5:D7)</f>
        <v>-240598.13365500863</v>
      </c>
      <c r="E12" s="120">
        <f t="shared" si="3"/>
        <v>-259229.8509107198</v>
      </c>
      <c r="F12" s="120">
        <f t="shared" si="3"/>
        <v>-279305.17519996705</v>
      </c>
      <c r="G12" s="120">
        <f t="shared" si="3"/>
        <v>-300936.17828723218</v>
      </c>
      <c r="H12" s="120">
        <f t="shared" si="3"/>
        <v>-324243.23992465006</v>
      </c>
      <c r="I12" s="120">
        <f t="shared" si="3"/>
        <v>-349356.48357637186</v>
      </c>
      <c r="J12" s="120">
        <f t="shared" si="3"/>
        <v>-376415.93028037221</v>
      </c>
      <c r="K12" s="120">
        <f t="shared" si="3"/>
        <v>-405572.41893288569</v>
      </c>
      <c r="L12" s="120">
        <f t="shared" si="3"/>
        <v>-436988.51514404558</v>
      </c>
      <c r="M12" s="120">
        <f t="shared" si="3"/>
        <v>-470839.51393274276</v>
      </c>
      <c r="N12" s="120">
        <f t="shared" si="3"/>
        <v>-507314.17327421205</v>
      </c>
      <c r="O12" s="120">
        <f t="shared" si="3"/>
        <v>-546615.8982060909</v>
      </c>
      <c r="P12" s="120">
        <f t="shared" si="3"/>
        <v>-588964.00019240065</v>
      </c>
      <c r="Q12" s="120">
        <f t="shared" si="3"/>
        <v>-634594.87570629967</v>
      </c>
      <c r="R12" s="120">
        <f t="shared" si="3"/>
        <v>-683762.61577307736</v>
      </c>
      <c r="S12" s="120">
        <f t="shared" si="3"/>
        <v>-736742.06350827357</v>
      </c>
      <c r="T12" s="120">
        <f t="shared" si="3"/>
        <v>-793828.52360981051</v>
      </c>
      <c r="U12" s="120">
        <f t="shared" si="3"/>
        <v>-855340.69997336308</v>
      </c>
      <c r="V12" s="120">
        <f t="shared" si="3"/>
        <v>-921621.71949078201</v>
      </c>
      <c r="W12" s="120">
        <f t="shared" si="3"/>
        <v>-993041.63329743035</v>
      </c>
      <c r="X12" s="120">
        <f t="shared" si="3"/>
        <v>-1069998.9106594331</v>
      </c>
      <c r="Y12" s="120">
        <f t="shared" si="3"/>
        <v>-1152922.9405868128</v>
      </c>
      <c r="Z12" s="120">
        <f t="shared" si="3"/>
        <v>-1242277.0420513037</v>
      </c>
      <c r="AA12" s="120">
        <f t="shared" si="3"/>
        <v>-1338559.534056715</v>
      </c>
      <c r="AB12" s="120">
        <f t="shared" si="3"/>
        <v>-1442307.9950572501</v>
      </c>
    </row>
    <row r="13" spans="1:28">
      <c r="A13" s="117" t="s">
        <v>205</v>
      </c>
      <c r="B13" s="117"/>
      <c r="C13" s="118">
        <f>C3-C8</f>
        <v>0</v>
      </c>
      <c r="D13" s="118">
        <f>D3+D8</f>
        <v>5767350.2417370509</v>
      </c>
      <c r="E13" s="118">
        <f t="shared" ref="E13:AB13" si="4">E3+E8</f>
        <v>4998931.6123922449</v>
      </c>
      <c r="F13" s="118">
        <f t="shared" si="4"/>
        <v>5515258.9686287735</v>
      </c>
      <c r="G13" s="118">
        <f t="shared" si="4"/>
        <v>6079314.4379081056</v>
      </c>
      <c r="H13" s="118">
        <f t="shared" si="4"/>
        <v>6695255.2262572572</v>
      </c>
      <c r="I13" s="118">
        <f t="shared" si="4"/>
        <v>7367599.7412448097</v>
      </c>
      <c r="J13" s="118">
        <f t="shared" si="4"/>
        <v>8101240.6085117012</v>
      </c>
      <c r="K13" s="118">
        <f t="shared" si="4"/>
        <v>8901481.4482377954</v>
      </c>
      <c r="L13" s="118">
        <f t="shared" si="4"/>
        <v>9774070.2447160557</v>
      </c>
      <c r="M13" s="118">
        <f t="shared" si="4"/>
        <v>10725239.507111173</v>
      </c>
      <c r="N13" s="118">
        <f t="shared" si="4"/>
        <v>12243848.062335007</v>
      </c>
      <c r="O13" s="118">
        <f t="shared" si="4"/>
        <v>12890883.325444899</v>
      </c>
      <c r="P13" s="118">
        <f t="shared" si="4"/>
        <v>14120598.188682679</v>
      </c>
      <c r="Q13" s="118">
        <f t="shared" si="4"/>
        <v>15459470.702738237</v>
      </c>
      <c r="R13" s="118">
        <f t="shared" si="4"/>
        <v>16916786.879280183</v>
      </c>
      <c r="S13" s="118">
        <f t="shared" si="4"/>
        <v>18502628.445991803</v>
      </c>
      <c r="T13" s="118">
        <f t="shared" si="4"/>
        <v>20227891.762098189</v>
      </c>
      <c r="U13" s="118">
        <f t="shared" si="4"/>
        <v>22104386.358390573</v>
      </c>
      <c r="V13" s="118">
        <f t="shared" si="4"/>
        <v>24144891.591783911</v>
      </c>
      <c r="W13" s="118">
        <f t="shared" si="4"/>
        <v>26363249.697374418</v>
      </c>
      <c r="X13" s="118">
        <f t="shared" si="4"/>
        <v>28774436.341395512</v>
      </c>
      <c r="Y13" s="118">
        <f t="shared" si="4"/>
        <v>31394662.323990904</v>
      </c>
      <c r="Z13" s="118">
        <f t="shared" si="4"/>
        <v>34241485.730342105</v>
      </c>
      <c r="AA13" s="118">
        <f t="shared" si="4"/>
        <v>37333887.544004858</v>
      </c>
      <c r="AB13" s="118">
        <f t="shared" si="4"/>
        <v>40692417.233836584</v>
      </c>
    </row>
    <row r="14" spans="1:28">
      <c r="A14" s="124" t="s">
        <v>447</v>
      </c>
      <c r="B14" s="126"/>
      <c r="C14" s="120">
        <f>-Depreciação!D7</f>
        <v>0</v>
      </c>
      <c r="D14" s="120">
        <f>-Depreciação!E7</f>
        <v>-1808255.9074826213</v>
      </c>
      <c r="E14" s="120">
        <f>-Depreciação!F7</f>
        <v>-1808255.9074826213</v>
      </c>
      <c r="F14" s="120">
        <f>-Depreciação!G7</f>
        <v>-1808255.9074826213</v>
      </c>
      <c r="G14" s="120">
        <f>-Depreciação!H7</f>
        <v>-1808255.9074826213</v>
      </c>
      <c r="H14" s="120">
        <f>-Depreciação!I7</f>
        <v>-1808255.9074826213</v>
      </c>
      <c r="I14" s="120">
        <f>-Depreciação!J7</f>
        <v>-1808255.9074826213</v>
      </c>
      <c r="J14" s="120">
        <f>-Depreciação!K7</f>
        <v>-1808255.9074826213</v>
      </c>
      <c r="K14" s="120">
        <f>-Depreciação!L7</f>
        <v>-1808255.9074826213</v>
      </c>
      <c r="L14" s="120">
        <f>-Depreciação!M7</f>
        <v>-1808255.9074826213</v>
      </c>
      <c r="M14" s="120">
        <f>-Depreciação!N7</f>
        <v>-1808255.9074826213</v>
      </c>
      <c r="N14" s="120">
        <f>-Depreciação!O7</f>
        <v>-656130.26944335655</v>
      </c>
      <c r="O14" s="120">
        <f>-Depreciação!P7</f>
        <v>-656130.26944335655</v>
      </c>
      <c r="P14" s="120">
        <f>-Depreciação!Q7</f>
        <v>-656130.26944335655</v>
      </c>
      <c r="Q14" s="120">
        <f>-Depreciação!R7</f>
        <v>-656130.26944335655</v>
      </c>
      <c r="R14" s="120">
        <f>-Depreciação!S7</f>
        <v>-656130.26944335655</v>
      </c>
      <c r="S14" s="120">
        <f>-Depreciação!T7</f>
        <v>-656130.26944335655</v>
      </c>
      <c r="T14" s="120">
        <f>-Depreciação!U7</f>
        <v>-656130.26944335655</v>
      </c>
      <c r="U14" s="120">
        <f>-Depreciação!V7</f>
        <v>-656130.26944335655</v>
      </c>
      <c r="V14" s="120">
        <f>-Depreciação!W7</f>
        <v>-656130.26944335655</v>
      </c>
      <c r="W14" s="120">
        <f>-Depreciação!X7</f>
        <v>-656130.26944335655</v>
      </c>
      <c r="X14" s="120">
        <f>-Depreciação!Y7</f>
        <v>-390098.28708979971</v>
      </c>
      <c r="Y14" s="120">
        <f>-Depreciação!Z7</f>
        <v>-390098.28708979971</v>
      </c>
      <c r="Z14" s="120">
        <f>-Depreciação!AA7</f>
        <v>-390098.28708979971</v>
      </c>
      <c r="AA14" s="120">
        <f>-Depreciação!AB7</f>
        <v>-390098.28708979971</v>
      </c>
      <c r="AB14" s="120">
        <f>-Depreciação!AC7</f>
        <v>-390098.28708979971</v>
      </c>
    </row>
    <row r="15" spans="1:28" s="39" customFormat="1" hidden="1">
      <c r="A15" s="124" t="s">
        <v>457</v>
      </c>
      <c r="B15" s="126"/>
      <c r="C15" s="123"/>
      <c r="D15" s="120"/>
      <c r="E15" s="120">
        <f t="shared" ref="E15:AB15" si="5">IF(D16&gt;0,0,IF((E13+E14+E18)&lt;0,0,IF((E13+E18+E14)&gt;(-D16*30%),D16*30%,-(E13+E18+E14))))</f>
        <v>0</v>
      </c>
      <c r="F15" s="120">
        <f t="shared" si="5"/>
        <v>0</v>
      </c>
      <c r="G15" s="120">
        <f t="shared" si="5"/>
        <v>0</v>
      </c>
      <c r="H15" s="120">
        <f t="shared" si="5"/>
        <v>0</v>
      </c>
      <c r="I15" s="120">
        <f t="shared" si="5"/>
        <v>0</v>
      </c>
      <c r="J15" s="120">
        <f t="shared" si="5"/>
        <v>0</v>
      </c>
      <c r="K15" s="120">
        <f t="shared" si="5"/>
        <v>0</v>
      </c>
      <c r="L15" s="120">
        <f t="shared" si="5"/>
        <v>0</v>
      </c>
      <c r="M15" s="120">
        <f t="shared" si="5"/>
        <v>0</v>
      </c>
      <c r="N15" s="120">
        <f t="shared" si="5"/>
        <v>0</v>
      </c>
      <c r="O15" s="120">
        <f t="shared" si="5"/>
        <v>0</v>
      </c>
      <c r="P15" s="120">
        <f t="shared" si="5"/>
        <v>0</v>
      </c>
      <c r="Q15" s="120">
        <f t="shared" si="5"/>
        <v>0</v>
      </c>
      <c r="R15" s="120">
        <f t="shared" si="5"/>
        <v>0</v>
      </c>
      <c r="S15" s="120">
        <f t="shared" si="5"/>
        <v>0</v>
      </c>
      <c r="T15" s="120">
        <f t="shared" si="5"/>
        <v>0</v>
      </c>
      <c r="U15" s="120">
        <f t="shared" si="5"/>
        <v>0</v>
      </c>
      <c r="V15" s="120">
        <f t="shared" si="5"/>
        <v>0</v>
      </c>
      <c r="W15" s="120">
        <f t="shared" si="5"/>
        <v>0</v>
      </c>
      <c r="X15" s="120">
        <f t="shared" si="5"/>
        <v>0</v>
      </c>
      <c r="Y15" s="120">
        <f t="shared" si="5"/>
        <v>0</v>
      </c>
      <c r="Z15" s="120">
        <f t="shared" si="5"/>
        <v>0</v>
      </c>
      <c r="AA15" s="120">
        <f t="shared" si="5"/>
        <v>0</v>
      </c>
      <c r="AB15" s="120">
        <f t="shared" si="5"/>
        <v>0</v>
      </c>
    </row>
    <row r="16" spans="1:28" s="39" customFormat="1" hidden="1">
      <c r="A16" s="124" t="s">
        <v>458</v>
      </c>
      <c r="B16" s="124"/>
      <c r="C16" s="123"/>
      <c r="D16" s="120">
        <f>IF(D19&gt;0,0,D19)</f>
        <v>0</v>
      </c>
      <c r="E16" s="120">
        <f t="shared" ref="E16:AB16" si="6">IF(E19&gt;0,D16-E15,D16-E15+E19)</f>
        <v>0</v>
      </c>
      <c r="F16" s="120">
        <f t="shared" si="6"/>
        <v>0</v>
      </c>
      <c r="G16" s="120">
        <f t="shared" si="6"/>
        <v>0</v>
      </c>
      <c r="H16" s="120">
        <f t="shared" si="6"/>
        <v>0</v>
      </c>
      <c r="I16" s="120">
        <f t="shared" si="6"/>
        <v>0</v>
      </c>
      <c r="J16" s="120">
        <f t="shared" si="6"/>
        <v>0</v>
      </c>
      <c r="K16" s="120">
        <f t="shared" si="6"/>
        <v>0</v>
      </c>
      <c r="L16" s="120">
        <f t="shared" si="6"/>
        <v>0</v>
      </c>
      <c r="M16" s="120">
        <f t="shared" si="6"/>
        <v>0</v>
      </c>
      <c r="N16" s="120">
        <f t="shared" si="6"/>
        <v>0</v>
      </c>
      <c r="O16" s="120">
        <f t="shared" si="6"/>
        <v>0</v>
      </c>
      <c r="P16" s="120">
        <f t="shared" si="6"/>
        <v>0</v>
      </c>
      <c r="Q16" s="120">
        <f t="shared" si="6"/>
        <v>0</v>
      </c>
      <c r="R16" s="120">
        <f t="shared" si="6"/>
        <v>0</v>
      </c>
      <c r="S16" s="120">
        <f t="shared" si="6"/>
        <v>0</v>
      </c>
      <c r="T16" s="120">
        <f t="shared" si="6"/>
        <v>0</v>
      </c>
      <c r="U16" s="120">
        <f t="shared" si="6"/>
        <v>0</v>
      </c>
      <c r="V16" s="120">
        <f t="shared" si="6"/>
        <v>0</v>
      </c>
      <c r="W16" s="120">
        <f t="shared" si="6"/>
        <v>0</v>
      </c>
      <c r="X16" s="120">
        <f t="shared" si="6"/>
        <v>0</v>
      </c>
      <c r="Y16" s="120">
        <f t="shared" si="6"/>
        <v>0</v>
      </c>
      <c r="Z16" s="120">
        <f t="shared" si="6"/>
        <v>0</v>
      </c>
      <c r="AA16" s="120">
        <f t="shared" si="6"/>
        <v>0</v>
      </c>
      <c r="AB16" s="120">
        <f t="shared" si="6"/>
        <v>0</v>
      </c>
    </row>
    <row r="17" spans="1:28" s="39" customFormat="1">
      <c r="A17" s="117" t="s">
        <v>460</v>
      </c>
      <c r="B17" s="117"/>
      <c r="C17" s="188">
        <f>C13+C14</f>
        <v>0</v>
      </c>
      <c r="D17" s="188">
        <f>D13+D14</f>
        <v>3959094.3342544297</v>
      </c>
      <c r="E17" s="188">
        <f>E13+E14</f>
        <v>3190675.7049096236</v>
      </c>
      <c r="F17" s="188">
        <f t="shared" ref="F17:AB17" si="7">F13+F14</f>
        <v>3707003.0611461522</v>
      </c>
      <c r="G17" s="188">
        <f t="shared" si="7"/>
        <v>4271058.5304254843</v>
      </c>
      <c r="H17" s="188">
        <f t="shared" si="7"/>
        <v>4886999.3187746359</v>
      </c>
      <c r="I17" s="188">
        <f t="shared" si="7"/>
        <v>5559343.8337621884</v>
      </c>
      <c r="J17" s="188">
        <f t="shared" si="7"/>
        <v>6292984.70102908</v>
      </c>
      <c r="K17" s="188">
        <f t="shared" si="7"/>
        <v>7093225.5407551741</v>
      </c>
      <c r="L17" s="188">
        <f t="shared" si="7"/>
        <v>7965814.3372334344</v>
      </c>
      <c r="M17" s="188">
        <f t="shared" si="7"/>
        <v>8916983.5996285528</v>
      </c>
      <c r="N17" s="188">
        <f t="shared" si="7"/>
        <v>11587717.79289165</v>
      </c>
      <c r="O17" s="188">
        <f t="shared" si="7"/>
        <v>12234753.056001542</v>
      </c>
      <c r="P17" s="188">
        <f t="shared" si="7"/>
        <v>13464467.919239322</v>
      </c>
      <c r="Q17" s="188">
        <f t="shared" si="7"/>
        <v>14803340.433294879</v>
      </c>
      <c r="R17" s="188">
        <f t="shared" si="7"/>
        <v>16260656.609836826</v>
      </c>
      <c r="S17" s="188">
        <f t="shared" si="7"/>
        <v>17846498.176548447</v>
      </c>
      <c r="T17" s="188">
        <f t="shared" si="7"/>
        <v>19571761.492654834</v>
      </c>
      <c r="U17" s="188">
        <f t="shared" si="7"/>
        <v>21448256.088947218</v>
      </c>
      <c r="V17" s="188">
        <f t="shared" si="7"/>
        <v>23488761.322340555</v>
      </c>
      <c r="W17" s="188">
        <f t="shared" si="7"/>
        <v>25707119.427931063</v>
      </c>
      <c r="X17" s="188">
        <f t="shared" si="7"/>
        <v>28384338.054305714</v>
      </c>
      <c r="Y17" s="188">
        <f t="shared" si="7"/>
        <v>31004564.036901105</v>
      </c>
      <c r="Z17" s="188">
        <f t="shared" si="7"/>
        <v>33851387.443252303</v>
      </c>
      <c r="AA17" s="188">
        <f t="shared" si="7"/>
        <v>36943789.256915055</v>
      </c>
      <c r="AB17" s="188">
        <f t="shared" si="7"/>
        <v>40302318.946746781</v>
      </c>
    </row>
    <row r="18" spans="1:28">
      <c r="A18" s="124" t="s">
        <v>206</v>
      </c>
      <c r="B18" s="124"/>
      <c r="C18" s="123"/>
      <c r="D18" s="120">
        <f>-'Fin. BNB'!C171</f>
        <v>0</v>
      </c>
      <c r="E18" s="120">
        <f>-'Fin. BNB'!D171</f>
        <v>0</v>
      </c>
      <c r="F18" s="120">
        <f>-'Fin. BNB'!E171</f>
        <v>0</v>
      </c>
      <c r="G18" s="120">
        <f>-'Fin. BNB'!F171</f>
        <v>0</v>
      </c>
      <c r="H18" s="120">
        <f>-'Fin. BNB'!G171</f>
        <v>0</v>
      </c>
      <c r="I18" s="120">
        <f>-'Fin. BNB'!H171</f>
        <v>0</v>
      </c>
      <c r="J18" s="120">
        <f>-'Fin. BNB'!I171</f>
        <v>0</v>
      </c>
      <c r="K18" s="120">
        <f>-'Fin. BNB'!J171</f>
        <v>0</v>
      </c>
      <c r="L18" s="120">
        <f>-'Fin. BNB'!K171</f>
        <v>0</v>
      </c>
      <c r="M18" s="120">
        <f>-'Fin. BNB'!L171</f>
        <v>0</v>
      </c>
      <c r="N18" s="120">
        <f>-'Fin. BNB'!M171</f>
        <v>0</v>
      </c>
      <c r="O18" s="120">
        <f>-'Fin. BNB'!N171</f>
        <v>0</v>
      </c>
      <c r="P18" s="120">
        <f>-'Fin. BNB'!O171</f>
        <v>0</v>
      </c>
      <c r="Q18" s="120">
        <f>-'Fin. BNB'!P171</f>
        <v>0</v>
      </c>
      <c r="R18" s="120">
        <f>-'Fin. BNB'!Q171</f>
        <v>0</v>
      </c>
      <c r="S18" s="120">
        <f>-'Fin. BNB'!R171</f>
        <v>0</v>
      </c>
      <c r="T18" s="120">
        <f>-'Fin. BNB'!S171</f>
        <v>0</v>
      </c>
      <c r="U18" s="120">
        <f>-'Fin. BNB'!T171</f>
        <v>0</v>
      </c>
      <c r="V18" s="120">
        <f>-'Fin. BNB'!U171</f>
        <v>0</v>
      </c>
      <c r="W18" s="120">
        <f>-'Fin. BNB'!V171</f>
        <v>0</v>
      </c>
      <c r="X18" s="120">
        <f>-'Fin. BNB'!W171</f>
        <v>0</v>
      </c>
      <c r="Y18" s="120">
        <f>-'Fin. BNB'!X171</f>
        <v>0</v>
      </c>
      <c r="Z18" s="120">
        <f>-'Fin. BNB'!Y171</f>
        <v>0</v>
      </c>
      <c r="AA18" s="120">
        <f>-'Fin. BNB'!Z171</f>
        <v>0</v>
      </c>
      <c r="AB18" s="120">
        <f>-'Fin. BNB'!AA171</f>
        <v>0</v>
      </c>
    </row>
    <row r="19" spans="1:28">
      <c r="A19" s="117" t="s">
        <v>461</v>
      </c>
      <c r="B19" s="117"/>
      <c r="C19" s="118">
        <f>C13-C18-C14</f>
        <v>0</v>
      </c>
      <c r="D19" s="118">
        <f t="shared" ref="D19:AB19" si="8">D13+D18+D14</f>
        <v>3959094.3342544297</v>
      </c>
      <c r="E19" s="118">
        <f t="shared" si="8"/>
        <v>3190675.7049096236</v>
      </c>
      <c r="F19" s="118">
        <f t="shared" si="8"/>
        <v>3707003.0611461522</v>
      </c>
      <c r="G19" s="118">
        <f t="shared" si="8"/>
        <v>4271058.5304254843</v>
      </c>
      <c r="H19" s="118">
        <f t="shared" si="8"/>
        <v>4886999.3187746359</v>
      </c>
      <c r="I19" s="118">
        <f t="shared" si="8"/>
        <v>5559343.8337621884</v>
      </c>
      <c r="J19" s="118">
        <f t="shared" si="8"/>
        <v>6292984.70102908</v>
      </c>
      <c r="K19" s="118">
        <f t="shared" si="8"/>
        <v>7093225.5407551741</v>
      </c>
      <c r="L19" s="118">
        <f t="shared" si="8"/>
        <v>7965814.3372334344</v>
      </c>
      <c r="M19" s="118">
        <f t="shared" si="8"/>
        <v>8916983.5996285528</v>
      </c>
      <c r="N19" s="118">
        <f t="shared" si="8"/>
        <v>11587717.79289165</v>
      </c>
      <c r="O19" s="118">
        <f t="shared" si="8"/>
        <v>12234753.056001542</v>
      </c>
      <c r="P19" s="118">
        <f t="shared" si="8"/>
        <v>13464467.919239322</v>
      </c>
      <c r="Q19" s="118">
        <f t="shared" si="8"/>
        <v>14803340.433294879</v>
      </c>
      <c r="R19" s="118">
        <f t="shared" si="8"/>
        <v>16260656.609836826</v>
      </c>
      <c r="S19" s="118">
        <f t="shared" si="8"/>
        <v>17846498.176548447</v>
      </c>
      <c r="T19" s="118">
        <f t="shared" si="8"/>
        <v>19571761.492654834</v>
      </c>
      <c r="U19" s="118">
        <f t="shared" si="8"/>
        <v>21448256.088947218</v>
      </c>
      <c r="V19" s="118">
        <f t="shared" si="8"/>
        <v>23488761.322340555</v>
      </c>
      <c r="W19" s="118">
        <f t="shared" si="8"/>
        <v>25707119.427931063</v>
      </c>
      <c r="X19" s="118">
        <f t="shared" si="8"/>
        <v>28384338.054305714</v>
      </c>
      <c r="Y19" s="118">
        <f t="shared" si="8"/>
        <v>31004564.036901105</v>
      </c>
      <c r="Z19" s="118">
        <f t="shared" si="8"/>
        <v>33851387.443252303</v>
      </c>
      <c r="AA19" s="118">
        <f t="shared" si="8"/>
        <v>36943789.256915055</v>
      </c>
      <c r="AB19" s="118">
        <f t="shared" si="8"/>
        <v>40302318.946746781</v>
      </c>
    </row>
    <row r="20" spans="1:28">
      <c r="A20" s="125" t="s">
        <v>207</v>
      </c>
      <c r="B20" s="126">
        <v>0.34</v>
      </c>
      <c r="C20" s="120">
        <f>Impostos!C31</f>
        <v>0</v>
      </c>
      <c r="D20" s="120">
        <f>Impostos!D31</f>
        <v>-1346092.0736465063</v>
      </c>
      <c r="E20" s="120">
        <f>Impostos!E31</f>
        <v>-1084829.7396692722</v>
      </c>
      <c r="F20" s="120">
        <f>Impostos!F31</f>
        <v>-1260381.0407896917</v>
      </c>
      <c r="G20" s="120">
        <f>Impostos!G31</f>
        <v>-1452159.9003446647</v>
      </c>
      <c r="H20" s="120">
        <f>Impostos!H31</f>
        <v>-1661579.7683833763</v>
      </c>
      <c r="I20" s="120">
        <f>Impostos!I31</f>
        <v>-1890176.9034791442</v>
      </c>
      <c r="J20" s="120">
        <f>Impostos!J31</f>
        <v>-2139614.7983498871</v>
      </c>
      <c r="K20" s="120">
        <f>Impostos!K31</f>
        <v>-2411696.6838567592</v>
      </c>
      <c r="L20" s="120">
        <f>Impostos!L31</f>
        <v>-2708376.8746593678</v>
      </c>
      <c r="M20" s="120">
        <f>Impostos!M31</f>
        <v>-3031774.4238737081</v>
      </c>
      <c r="N20" s="120">
        <f>Impostos!N31</f>
        <v>-3939824.0495831612</v>
      </c>
      <c r="O20" s="120">
        <f>Impostos!O31</f>
        <v>-4159816.0390405245</v>
      </c>
      <c r="P20" s="120">
        <f>Impostos!P31</f>
        <v>-4577919.0925413696</v>
      </c>
      <c r="Q20" s="120">
        <f>Impostos!Q31</f>
        <v>-5033135.747320259</v>
      </c>
      <c r="R20" s="120">
        <f>Impostos!R31</f>
        <v>-5528623.2473445209</v>
      </c>
      <c r="S20" s="120">
        <f>Impostos!S31</f>
        <v>-6067809.3800264727</v>
      </c>
      <c r="T20" s="120">
        <f>Impostos!T31</f>
        <v>-6654398.9075026438</v>
      </c>
      <c r="U20" s="120">
        <f>Impostos!U31</f>
        <v>-7292407.0702420548</v>
      </c>
      <c r="V20" s="120">
        <f>Impostos!V31</f>
        <v>-7986178.8495957898</v>
      </c>
      <c r="W20" s="120">
        <f>Impostos!W31</f>
        <v>-8740420.6054965612</v>
      </c>
      <c r="X20" s="120">
        <f>Impostos!X31</f>
        <v>-9650674.9384639431</v>
      </c>
      <c r="Y20" s="120">
        <f>Impostos!Y31</f>
        <v>-10541551.772546377</v>
      </c>
      <c r="Z20" s="120">
        <f>Impostos!Z31</f>
        <v>-11509471.730705785</v>
      </c>
      <c r="AA20" s="120">
        <f>Impostos!AA31</f>
        <v>-12560888.347351119</v>
      </c>
      <c r="AB20" s="120">
        <f>Impostos!AB31</f>
        <v>-13702788.441893907</v>
      </c>
    </row>
    <row r="21" spans="1:28">
      <c r="A21" s="117" t="s">
        <v>208</v>
      </c>
      <c r="B21" s="117"/>
      <c r="C21" s="118">
        <f>C19-C20</f>
        <v>0</v>
      </c>
      <c r="D21" s="118">
        <f>D19+D20</f>
        <v>2613002.2606079234</v>
      </c>
      <c r="E21" s="118">
        <f t="shared" ref="E21:AB21" si="9">E19+E20</f>
        <v>2105845.9652403514</v>
      </c>
      <c r="F21" s="118">
        <f t="shared" si="9"/>
        <v>2446622.0203564605</v>
      </c>
      <c r="G21" s="118">
        <f t="shared" si="9"/>
        <v>2818898.6300808196</v>
      </c>
      <c r="H21" s="118">
        <f t="shared" si="9"/>
        <v>3225419.5503912596</v>
      </c>
      <c r="I21" s="118">
        <f t="shared" si="9"/>
        <v>3669166.9302830445</v>
      </c>
      <c r="J21" s="118">
        <f t="shared" si="9"/>
        <v>4153369.9026791928</v>
      </c>
      <c r="K21" s="118">
        <f t="shared" si="9"/>
        <v>4681528.8568984149</v>
      </c>
      <c r="L21" s="118">
        <f t="shared" si="9"/>
        <v>5257437.4625740666</v>
      </c>
      <c r="M21" s="118">
        <f t="shared" si="9"/>
        <v>5885209.1757548451</v>
      </c>
      <c r="N21" s="118">
        <f t="shared" si="9"/>
        <v>7647893.7433084883</v>
      </c>
      <c r="O21" s="118">
        <f t="shared" si="9"/>
        <v>8074937.0169610176</v>
      </c>
      <c r="P21" s="118">
        <f t="shared" si="9"/>
        <v>8886548.826697953</v>
      </c>
      <c r="Q21" s="118">
        <f t="shared" si="9"/>
        <v>9770204.6859746203</v>
      </c>
      <c r="R21" s="118">
        <f t="shared" si="9"/>
        <v>10732033.362492304</v>
      </c>
      <c r="S21" s="118">
        <f t="shared" si="9"/>
        <v>11778688.796521975</v>
      </c>
      <c r="T21" s="118">
        <f t="shared" si="9"/>
        <v>12917362.58515219</v>
      </c>
      <c r="U21" s="118">
        <f t="shared" si="9"/>
        <v>14155849.018705163</v>
      </c>
      <c r="V21" s="118">
        <f t="shared" si="9"/>
        <v>15502582.472744767</v>
      </c>
      <c r="W21" s="118">
        <f t="shared" si="9"/>
        <v>16966698.8224345</v>
      </c>
      <c r="X21" s="118">
        <f t="shared" si="9"/>
        <v>18733663.115841769</v>
      </c>
      <c r="Y21" s="118">
        <f t="shared" si="9"/>
        <v>20463012.264354728</v>
      </c>
      <c r="Z21" s="118">
        <f t="shared" si="9"/>
        <v>22341915.71254652</v>
      </c>
      <c r="AA21" s="118">
        <f t="shared" si="9"/>
        <v>24382900.909563936</v>
      </c>
      <c r="AB21" s="118">
        <f t="shared" si="9"/>
        <v>26599530.504852876</v>
      </c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46"/>
  <sheetViews>
    <sheetView topLeftCell="K1" workbookViewId="0">
      <selection activeCell="D8" sqref="D8"/>
    </sheetView>
  </sheetViews>
  <sheetFormatPr baseColWidth="10" defaultColWidth="8.83203125" defaultRowHeight="15"/>
  <cols>
    <col min="1" max="1" width="0" hidden="1" customWidth="1"/>
    <col min="2" max="2" width="42.5" bestFit="1" customWidth="1"/>
    <col min="3" max="3" width="2.1640625" hidden="1" customWidth="1"/>
    <col min="4" max="11" width="12" bestFit="1" customWidth="1"/>
    <col min="12" max="12" width="12" customWidth="1"/>
    <col min="13" max="28" width="12" bestFit="1" customWidth="1"/>
    <col min="29" max="29" width="10.83203125" bestFit="1" customWidth="1"/>
  </cols>
  <sheetData>
    <row r="1" spans="1:29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29" ht="33">
      <c r="A2" s="228"/>
      <c r="B2" s="229" t="s">
        <v>435</v>
      </c>
      <c r="C2" s="228"/>
      <c r="D2" s="230"/>
      <c r="E2" s="228"/>
      <c r="F2" s="228"/>
      <c r="G2" s="228"/>
      <c r="H2" s="228"/>
      <c r="I2" s="228"/>
      <c r="J2" s="228"/>
      <c r="K2" s="228"/>
      <c r="L2" s="228"/>
    </row>
    <row r="3" spans="1:29">
      <c r="A3" s="228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</row>
    <row r="4" spans="1:29">
      <c r="A4" s="228"/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</row>
    <row r="5" spans="1:29">
      <c r="A5" s="228"/>
      <c r="B5" s="232"/>
      <c r="C5" s="232"/>
      <c r="D5" s="252">
        <v>0</v>
      </c>
      <c r="E5" s="252">
        <v>1</v>
      </c>
      <c r="F5" s="252">
        <v>2</v>
      </c>
      <c r="G5" s="252">
        <v>3</v>
      </c>
      <c r="H5" s="252">
        <v>4</v>
      </c>
      <c r="I5" s="252">
        <v>5</v>
      </c>
      <c r="J5" s="252">
        <v>6</v>
      </c>
      <c r="K5" s="252">
        <v>7</v>
      </c>
      <c r="L5" s="252">
        <v>8</v>
      </c>
      <c r="M5" s="252">
        <v>9</v>
      </c>
      <c r="N5" s="252">
        <v>10</v>
      </c>
      <c r="O5" s="252">
        <v>11</v>
      </c>
      <c r="P5" s="252">
        <v>12</v>
      </c>
      <c r="Q5" s="252">
        <v>13</v>
      </c>
      <c r="R5" s="252">
        <v>14</v>
      </c>
      <c r="S5" s="252">
        <v>15</v>
      </c>
      <c r="T5" s="252">
        <v>16</v>
      </c>
      <c r="U5" s="252">
        <v>17</v>
      </c>
      <c r="V5" s="252">
        <v>18</v>
      </c>
      <c r="W5" s="252">
        <v>19</v>
      </c>
      <c r="X5" s="252">
        <v>20</v>
      </c>
      <c r="Y5" s="252">
        <v>21</v>
      </c>
      <c r="Z5" s="252">
        <v>22</v>
      </c>
      <c r="AA5" s="252">
        <v>23</v>
      </c>
      <c r="AB5" s="252">
        <v>24</v>
      </c>
      <c r="AC5" s="252">
        <v>25</v>
      </c>
    </row>
    <row r="6" spans="1:29">
      <c r="A6" s="228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</row>
    <row r="7" spans="1:29">
      <c r="A7" s="228"/>
      <c r="B7" s="233" t="s">
        <v>493</v>
      </c>
      <c r="C7" s="231"/>
      <c r="D7" s="253">
        <v>365</v>
      </c>
      <c r="E7" s="253">
        <v>365</v>
      </c>
      <c r="F7" s="253">
        <f>+E7</f>
        <v>365</v>
      </c>
      <c r="G7" s="253">
        <v>366</v>
      </c>
      <c r="H7" s="253">
        <v>365</v>
      </c>
      <c r="I7" s="253">
        <f>+H7</f>
        <v>365</v>
      </c>
      <c r="J7" s="253">
        <f>+I7</f>
        <v>365</v>
      </c>
      <c r="K7" s="253">
        <v>366</v>
      </c>
      <c r="L7" s="253">
        <v>365</v>
      </c>
      <c r="M7" s="253">
        <v>366</v>
      </c>
      <c r="N7" s="253">
        <v>367</v>
      </c>
      <c r="O7" s="253">
        <v>368</v>
      </c>
      <c r="P7" s="253">
        <v>369</v>
      </c>
      <c r="Q7" s="253">
        <v>370</v>
      </c>
      <c r="R7" s="253">
        <v>371</v>
      </c>
      <c r="S7" s="253">
        <v>372</v>
      </c>
      <c r="T7" s="253">
        <v>373</v>
      </c>
      <c r="U7" s="253">
        <v>374</v>
      </c>
      <c r="V7" s="253">
        <v>375</v>
      </c>
      <c r="W7" s="253">
        <v>376</v>
      </c>
      <c r="X7" s="253">
        <v>377</v>
      </c>
      <c r="Y7" s="253">
        <v>378</v>
      </c>
      <c r="Z7" s="253">
        <v>379</v>
      </c>
      <c r="AA7" s="253">
        <v>380</v>
      </c>
      <c r="AB7" s="253">
        <v>381</v>
      </c>
      <c r="AC7" s="253">
        <v>382</v>
      </c>
    </row>
    <row r="8" spans="1:29">
      <c r="A8" s="228"/>
      <c r="B8" s="234" t="s">
        <v>494</v>
      </c>
      <c r="C8" s="235"/>
      <c r="D8" s="254">
        <f>DRE!D3+DRE!D10</f>
        <v>13473785.767235592</v>
      </c>
      <c r="E8" s="254">
        <f>DRE!E3+DRE!E10</f>
        <v>13181037.460910294</v>
      </c>
      <c r="F8" s="254">
        <f>DRE!F3+DRE!F10</f>
        <v>14202667.947687648</v>
      </c>
      <c r="G8" s="254">
        <f>DRE!G3+DRE!G10</f>
        <v>15303524.093661442</v>
      </c>
      <c r="H8" s="254">
        <f>DRE!H3+DRE!H10</f>
        <v>16489745.976793217</v>
      </c>
      <c r="I8" s="254">
        <f>DRE!I3+DRE!I10</f>
        <v>17767961.537803367</v>
      </c>
      <c r="J8" s="254">
        <f>DRE!J3+DRE!J10</f>
        <v>19145307.03430666</v>
      </c>
      <c r="K8" s="254">
        <f>DRE!K3+DRE!K10</f>
        <v>20629472.64134172</v>
      </c>
      <c r="L8" s="254">
        <f>DRE!L3+DRE!L10</f>
        <v>22228745.099136181</v>
      </c>
      <c r="M8" s="254">
        <f>DRE!M3+DRE!M10</f>
        <v>23952057.805626772</v>
      </c>
      <c r="N8" s="254">
        <f>DRE!N3+DRE!N10</f>
        <v>26291142.770955518</v>
      </c>
      <c r="O8" s="254">
        <f>DRE!O3+DRE!O10</f>
        <v>27810044.180675887</v>
      </c>
      <c r="P8" s="254">
        <f>DRE!P3+DRE!P10</f>
        <v>29966267.284729056</v>
      </c>
      <c r="Q8" s="254">
        <f>DRE!Q3+DRE!Q10</f>
        <v>32289750.662262917</v>
      </c>
      <c r="R8" s="254">
        <f>DRE!R3+DRE!R10</f>
        <v>34793461.665321104</v>
      </c>
      <c r="S8" s="254">
        <f>DRE!S3+DRE!S10</f>
        <v>37491400.432034068</v>
      </c>
      <c r="T8" s="254">
        <f>DRE!T3+DRE!T10</f>
        <v>40398631.95000422</v>
      </c>
      <c r="U8" s="254">
        <f>DRE!U3+DRE!U10</f>
        <v>43531402.389948472</v>
      </c>
      <c r="V8" s="254">
        <f>DRE!V3+DRE!V10</f>
        <v>46907212.238738634</v>
      </c>
      <c r="W8" s="254">
        <f>DRE!W3+DRE!W10</f>
        <v>50544928.529376253</v>
      </c>
      <c r="X8" s="254">
        <f>DRE!X3+DRE!X10</f>
        <v>54464874.425175749</v>
      </c>
      <c r="Y8" s="254">
        <f>DRE!Y3+DRE!Y10</f>
        <v>58688952.265700527</v>
      </c>
      <c r="Z8" s="254">
        <f>DRE!Z3+DRE!Z10</f>
        <v>63240778.806955472</v>
      </c>
      <c r="AA8" s="254">
        <f>DRE!AA3+DRE!AA10</f>
        <v>68145782.943422467</v>
      </c>
      <c r="AB8" s="254">
        <f>DRE!AB3+DRE!AB10</f>
        <v>73431378.417472422</v>
      </c>
      <c r="AC8" s="254">
        <f>DRE!AC3+DRE!AC10</f>
        <v>0</v>
      </c>
    </row>
    <row r="9" spans="1:29">
      <c r="A9" s="228"/>
      <c r="B9" s="236" t="s">
        <v>495</v>
      </c>
      <c r="C9" s="237"/>
      <c r="D9" s="254">
        <f>DRE!D9+DRE!D12</f>
        <v>-7630300.5400851695</v>
      </c>
      <c r="E9" s="254">
        <f>DRE!E9+DRE!E12</f>
        <v>-8100059.8501451863</v>
      </c>
      <c r="F9" s="254">
        <f>DRE!F9+DRE!F12</f>
        <v>-8598992.911446372</v>
      </c>
      <c r="G9" s="254">
        <f>DRE!G9+DRE!G12</f>
        <v>-9128928.7731784601</v>
      </c>
      <c r="H9" s="254">
        <f>DRE!H9+DRE!H12</f>
        <v>-9691811.9145353939</v>
      </c>
      <c r="I9" s="254">
        <f>DRE!I9+DRE!I12</f>
        <v>-10289710.416268883</v>
      </c>
      <c r="J9" s="254">
        <f>DRE!J9+DRE!J12</f>
        <v>-10924823.277299656</v>
      </c>
      <c r="K9" s="254">
        <f>DRE!K9+DRE!K12</f>
        <v>-11599488.95194483</v>
      </c>
      <c r="L9" s="254">
        <f>DRE!L9+DRE!L12</f>
        <v>-12316194.358939167</v>
      </c>
      <c r="M9" s="254">
        <f>DRE!M9+DRE!M12</f>
        <v>-13077584.498417092</v>
      </c>
      <c r="N9" s="254">
        <f>DRE!N9+DRE!N12</f>
        <v>-13886472.346759174</v>
      </c>
      <c r="O9" s="254">
        <f>DRE!O9+DRE!O12</f>
        <v>-14745849.784019211</v>
      </c>
      <c r="P9" s="254">
        <f>DRE!P9+DRE!P12</f>
        <v>-15658899.215900047</v>
      </c>
      <c r="Q9" s="254">
        <f>DRE!Q9+DRE!Q12</f>
        <v>-16629005.773912458</v>
      </c>
      <c r="R9" s="254">
        <f>DRE!R9+DRE!R12</f>
        <v>-17659769.647693235</v>
      </c>
      <c r="S9" s="254">
        <f>DRE!S9+DRE!S12</f>
        <v>-18755021.611479856</v>
      </c>
      <c r="T9" s="254">
        <f>DRE!T9+DRE!T12</f>
        <v>-19918835.9965683</v>
      </c>
      <c r="U9" s="254">
        <f>DRE!U9+DRE!U12</f>
        <v>-21155547.736885335</v>
      </c>
      <c r="V9" s="254">
        <f>DRE!V9+DRE!V12</f>
        <v>-22469768.399992961</v>
      </c>
      <c r="W9" s="254">
        <f>DRE!W9+DRE!W12</f>
        <v>-23866404.652559482</v>
      </c>
      <c r="X9" s="254">
        <f>DRE!X9+DRE!X12</f>
        <v>-25350676.736995906</v>
      </c>
      <c r="Y9" s="254">
        <f>DRE!Y9+DRE!Y12</f>
        <v>-26928139.039834842</v>
      </c>
      <c r="Z9" s="254">
        <f>DRE!Z9+DRE!Z12</f>
        <v>-28604702.322464727</v>
      </c>
      <c r="AA9" s="254">
        <f>DRE!AA9+DRE!AA12</f>
        <v>-30386655.239721116</v>
      </c>
      <c r="AB9" s="254">
        <f>DRE!AB9+DRE!AB12</f>
        <v>-32280690.354899503</v>
      </c>
      <c r="AC9" s="254">
        <f>DRE!AC9+DRE!AC12</f>
        <v>0</v>
      </c>
    </row>
    <row r="10" spans="1:29">
      <c r="A10" s="228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</row>
    <row r="11" spans="1:29">
      <c r="A11" s="228"/>
      <c r="B11" s="228" t="str">
        <f>+[3]BP!B12</f>
        <v xml:space="preserve">Contas a receber </v>
      </c>
      <c r="C11" s="228"/>
      <c r="D11" s="238">
        <f>+D12*D$8/D$7</f>
        <v>2104125.4485819968</v>
      </c>
      <c r="E11" s="238">
        <f t="shared" ref="E11:AC11" si="0">+E12*E$8/E$7</f>
        <v>2058408.5897859912</v>
      </c>
      <c r="F11" s="238">
        <f t="shared" si="0"/>
        <v>2217950.8849813589</v>
      </c>
      <c r="G11" s="238">
        <f t="shared" si="0"/>
        <v>2383335.7195046507</v>
      </c>
      <c r="H11" s="238">
        <f t="shared" si="0"/>
        <v>2575111.015554009</v>
      </c>
      <c r="I11" s="238">
        <f t="shared" si="0"/>
        <v>2774722.76069806</v>
      </c>
      <c r="J11" s="238">
        <f t="shared" si="0"/>
        <v>2989815.0711109033</v>
      </c>
      <c r="K11" s="238">
        <f t="shared" si="0"/>
        <v>3212786.7228319072</v>
      </c>
      <c r="L11" s="238">
        <f t="shared" si="0"/>
        <v>3471338.275755513</v>
      </c>
      <c r="M11" s="238">
        <f t="shared" si="0"/>
        <v>3730238.5107123661</v>
      </c>
      <c r="N11" s="238">
        <f t="shared" si="0"/>
        <v>4083365.498486279</v>
      </c>
      <c r="O11" s="238">
        <f t="shared" si="0"/>
        <v>4307534.0171155585</v>
      </c>
      <c r="P11" s="238">
        <f t="shared" si="0"/>
        <v>4628935.5968280649</v>
      </c>
      <c r="Q11" s="238">
        <f t="shared" si="0"/>
        <v>4974366.9939161791</v>
      </c>
      <c r="R11" s="238">
        <f t="shared" si="0"/>
        <v>5345626.185777097</v>
      </c>
      <c r="S11" s="238">
        <f t="shared" si="0"/>
        <v>5744650.0661987681</v>
      </c>
      <c r="T11" s="238">
        <f t="shared" si="0"/>
        <v>6173517.4829765158</v>
      </c>
      <c r="U11" s="238">
        <f t="shared" si="0"/>
        <v>6634465.0701258359</v>
      </c>
      <c r="V11" s="238">
        <f t="shared" si="0"/>
        <v>7129896.260288273</v>
      </c>
      <c r="W11" s="238">
        <f t="shared" si="0"/>
        <v>7662396.080251188</v>
      </c>
      <c r="X11" s="238">
        <f t="shared" si="0"/>
        <v>8234742.2870955374</v>
      </c>
      <c r="Y11" s="238">
        <f t="shared" si="0"/>
        <v>8849921.3733992856</v>
      </c>
      <c r="Z11" s="238">
        <f t="shared" si="0"/>
        <v>9511146.1530249659</v>
      </c>
      <c r="AA11" s="238">
        <f t="shared" si="0"/>
        <v>10221867.441513371</v>
      </c>
      <c r="AB11" s="238">
        <f t="shared" si="0"/>
        <v>10985796.771117922</v>
      </c>
      <c r="AC11" s="238">
        <f t="shared" si="0"/>
        <v>0</v>
      </c>
    </row>
    <row r="12" spans="1:29">
      <c r="A12" s="228"/>
      <c r="B12" s="228" t="s">
        <v>496</v>
      </c>
      <c r="C12" s="228"/>
      <c r="D12" s="239">
        <v>57</v>
      </c>
      <c r="E12" s="238">
        <f t="shared" ref="E12:L12" si="1">+D12</f>
        <v>57</v>
      </c>
      <c r="F12" s="238">
        <f t="shared" si="1"/>
        <v>57</v>
      </c>
      <c r="G12" s="238">
        <f t="shared" si="1"/>
        <v>57</v>
      </c>
      <c r="H12" s="238">
        <f t="shared" si="1"/>
        <v>57</v>
      </c>
      <c r="I12" s="238">
        <f t="shared" si="1"/>
        <v>57</v>
      </c>
      <c r="J12" s="238">
        <f t="shared" si="1"/>
        <v>57</v>
      </c>
      <c r="K12" s="238">
        <f t="shared" si="1"/>
        <v>57</v>
      </c>
      <c r="L12" s="238">
        <f t="shared" si="1"/>
        <v>57</v>
      </c>
      <c r="M12" s="238">
        <f t="shared" ref="M12" si="2">+L12</f>
        <v>57</v>
      </c>
      <c r="N12" s="238">
        <f t="shared" ref="N12" si="3">+M12</f>
        <v>57</v>
      </c>
      <c r="O12" s="238">
        <f t="shared" ref="O12" si="4">+N12</f>
        <v>57</v>
      </c>
      <c r="P12" s="238">
        <f t="shared" ref="P12" si="5">+O12</f>
        <v>57</v>
      </c>
      <c r="Q12" s="238">
        <f t="shared" ref="Q12" si="6">+P12</f>
        <v>57</v>
      </c>
      <c r="R12" s="238">
        <f t="shared" ref="R12" si="7">+Q12</f>
        <v>57</v>
      </c>
      <c r="S12" s="238">
        <f t="shared" ref="S12" si="8">+R12</f>
        <v>57</v>
      </c>
      <c r="T12" s="238">
        <f t="shared" ref="T12" si="9">+S12</f>
        <v>57</v>
      </c>
      <c r="U12" s="238">
        <f t="shared" ref="U12" si="10">+T12</f>
        <v>57</v>
      </c>
      <c r="V12" s="238">
        <f t="shared" ref="V12" si="11">+U12</f>
        <v>57</v>
      </c>
      <c r="W12" s="238">
        <f t="shared" ref="W12" si="12">+V12</f>
        <v>57</v>
      </c>
      <c r="X12" s="238">
        <f t="shared" ref="X12" si="13">+W12</f>
        <v>57</v>
      </c>
      <c r="Y12" s="238">
        <f t="shared" ref="Y12" si="14">+X12</f>
        <v>57</v>
      </c>
      <c r="Z12" s="238">
        <f t="shared" ref="Z12" si="15">+Y12</f>
        <v>57</v>
      </c>
      <c r="AA12" s="238">
        <f t="shared" ref="AA12" si="16">+Z12</f>
        <v>57</v>
      </c>
      <c r="AB12" s="238">
        <f t="shared" ref="AB12:AC12" si="17">+AA12</f>
        <v>57</v>
      </c>
      <c r="AC12" s="238">
        <f t="shared" si="17"/>
        <v>57</v>
      </c>
    </row>
    <row r="13" spans="1:29">
      <c r="A13" s="228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</row>
    <row r="14" spans="1:29">
      <c r="A14" s="228"/>
      <c r="B14" s="228" t="str">
        <f>+[3]BP!B13</f>
        <v>Estoques</v>
      </c>
      <c r="C14" s="228"/>
      <c r="D14" s="238">
        <f>-D15*D$9/D$7</f>
        <v>104524.66493267356</v>
      </c>
      <c r="E14" s="238">
        <f t="shared" ref="E14:AC14" si="18">-E15*E$9/E$7</f>
        <v>110959.7239745916</v>
      </c>
      <c r="F14" s="238">
        <f t="shared" si="18"/>
        <v>117794.42344447084</v>
      </c>
      <c r="G14" s="238">
        <f t="shared" si="18"/>
        <v>124712.14171008825</v>
      </c>
      <c r="H14" s="238">
        <f t="shared" si="18"/>
        <v>132764.54677445747</v>
      </c>
      <c r="I14" s="238">
        <f t="shared" si="18"/>
        <v>140954.9372091628</v>
      </c>
      <c r="J14" s="238">
        <f t="shared" si="18"/>
        <v>149655.11338766653</v>
      </c>
      <c r="K14" s="238">
        <f t="shared" si="18"/>
        <v>158462.96382438292</v>
      </c>
      <c r="L14" s="238">
        <f t="shared" si="18"/>
        <v>168714.99121834477</v>
      </c>
      <c r="M14" s="238">
        <f t="shared" si="18"/>
        <v>178655.52593465973</v>
      </c>
      <c r="N14" s="238">
        <f t="shared" si="18"/>
        <v>189188.99654985248</v>
      </c>
      <c r="O14" s="238">
        <f t="shared" si="18"/>
        <v>200351.21989156536</v>
      </c>
      <c r="P14" s="238">
        <f t="shared" si="18"/>
        <v>212180.20617750738</v>
      </c>
      <c r="Q14" s="238">
        <f t="shared" si="18"/>
        <v>224716.29424206022</v>
      </c>
      <c r="R14" s="238">
        <f t="shared" si="18"/>
        <v>238002.28635705169</v>
      </c>
      <c r="S14" s="238">
        <f t="shared" si="18"/>
        <v>252083.62381021309</v>
      </c>
      <c r="T14" s="238">
        <f t="shared" si="18"/>
        <v>267008.52542316756</v>
      </c>
      <c r="U14" s="238">
        <f t="shared" si="18"/>
        <v>282828.17830060609</v>
      </c>
      <c r="V14" s="238">
        <f t="shared" si="18"/>
        <v>299596.91199990612</v>
      </c>
      <c r="W14" s="238">
        <f t="shared" si="18"/>
        <v>317372.40229467396</v>
      </c>
      <c r="X14" s="238">
        <f t="shared" si="18"/>
        <v>336215.87184344704</v>
      </c>
      <c r="Y14" s="238">
        <f t="shared" si="18"/>
        <v>356192.31534173078</v>
      </c>
      <c r="Z14" s="238">
        <f t="shared" si="18"/>
        <v>377370.74304043176</v>
      </c>
      <c r="AA14" s="238">
        <f t="shared" si="18"/>
        <v>399824.41104896204</v>
      </c>
      <c r="AB14" s="238">
        <f t="shared" si="18"/>
        <v>423631.10701967851</v>
      </c>
      <c r="AC14" s="238">
        <f t="shared" si="18"/>
        <v>0</v>
      </c>
    </row>
    <row r="15" spans="1:29">
      <c r="A15" s="228"/>
      <c r="B15" s="228" t="s">
        <v>497</v>
      </c>
      <c r="C15" s="228"/>
      <c r="D15" s="239">
        <v>5</v>
      </c>
      <c r="E15" s="238">
        <f t="shared" ref="E15:L15" si="19">+D15</f>
        <v>5</v>
      </c>
      <c r="F15" s="238">
        <f t="shared" si="19"/>
        <v>5</v>
      </c>
      <c r="G15" s="238">
        <f t="shared" si="19"/>
        <v>5</v>
      </c>
      <c r="H15" s="238">
        <f t="shared" si="19"/>
        <v>5</v>
      </c>
      <c r="I15" s="238">
        <f t="shared" si="19"/>
        <v>5</v>
      </c>
      <c r="J15" s="238">
        <f t="shared" si="19"/>
        <v>5</v>
      </c>
      <c r="K15" s="238">
        <f t="shared" si="19"/>
        <v>5</v>
      </c>
      <c r="L15" s="238">
        <f t="shared" si="19"/>
        <v>5</v>
      </c>
      <c r="M15" s="238">
        <f t="shared" ref="M15" si="20">+L15</f>
        <v>5</v>
      </c>
      <c r="N15" s="238">
        <f t="shared" ref="N15" si="21">+M15</f>
        <v>5</v>
      </c>
      <c r="O15" s="238">
        <f t="shared" ref="O15" si="22">+N15</f>
        <v>5</v>
      </c>
      <c r="P15" s="238">
        <f t="shared" ref="P15" si="23">+O15</f>
        <v>5</v>
      </c>
      <c r="Q15" s="238">
        <f t="shared" ref="Q15" si="24">+P15</f>
        <v>5</v>
      </c>
      <c r="R15" s="238">
        <f t="shared" ref="R15" si="25">+Q15</f>
        <v>5</v>
      </c>
      <c r="S15" s="238">
        <f t="shared" ref="S15" si="26">+R15</f>
        <v>5</v>
      </c>
      <c r="T15" s="238">
        <f t="shared" ref="T15" si="27">+S15</f>
        <v>5</v>
      </c>
      <c r="U15" s="238">
        <f t="shared" ref="U15" si="28">+T15</f>
        <v>5</v>
      </c>
      <c r="V15" s="238">
        <f t="shared" ref="V15" si="29">+U15</f>
        <v>5</v>
      </c>
      <c r="W15" s="238">
        <f t="shared" ref="W15" si="30">+V15</f>
        <v>5</v>
      </c>
      <c r="X15" s="238">
        <f t="shared" ref="X15" si="31">+W15</f>
        <v>5</v>
      </c>
      <c r="Y15" s="238">
        <f t="shared" ref="Y15" si="32">+X15</f>
        <v>5</v>
      </c>
      <c r="Z15" s="238">
        <f t="shared" ref="Z15" si="33">+Y15</f>
        <v>5</v>
      </c>
      <c r="AA15" s="238">
        <f t="shared" ref="AA15" si="34">+Z15</f>
        <v>5</v>
      </c>
      <c r="AB15" s="238">
        <f t="shared" ref="AB15:AC15" si="35">+AA15</f>
        <v>5</v>
      </c>
      <c r="AC15" s="238">
        <f t="shared" si="35"/>
        <v>5</v>
      </c>
    </row>
    <row r="16" spans="1:29">
      <c r="A16" s="228"/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</row>
    <row r="17" spans="1:29">
      <c r="A17" s="228"/>
      <c r="B17" s="228" t="str">
        <f>+[3]BP!B14</f>
        <v>Impostos a Recuperar</v>
      </c>
      <c r="C17" s="228"/>
      <c r="D17" s="238">
        <f t="shared" ref="D17:AC17" si="36">-D18*D$9/D$7</f>
        <v>0</v>
      </c>
      <c r="E17" s="238">
        <f t="shared" si="36"/>
        <v>0</v>
      </c>
      <c r="F17" s="238">
        <f t="shared" si="36"/>
        <v>0</v>
      </c>
      <c r="G17" s="238">
        <f t="shared" si="36"/>
        <v>0</v>
      </c>
      <c r="H17" s="238">
        <f t="shared" si="36"/>
        <v>0</v>
      </c>
      <c r="I17" s="238">
        <f t="shared" si="36"/>
        <v>0</v>
      </c>
      <c r="J17" s="238">
        <f t="shared" si="36"/>
        <v>0</v>
      </c>
      <c r="K17" s="238">
        <f t="shared" si="36"/>
        <v>0</v>
      </c>
      <c r="L17" s="238">
        <f t="shared" si="36"/>
        <v>0</v>
      </c>
      <c r="M17" s="238">
        <f t="shared" si="36"/>
        <v>0</v>
      </c>
      <c r="N17" s="238">
        <f t="shared" si="36"/>
        <v>0</v>
      </c>
      <c r="O17" s="238">
        <f t="shared" si="36"/>
        <v>0</v>
      </c>
      <c r="P17" s="238">
        <f t="shared" si="36"/>
        <v>0</v>
      </c>
      <c r="Q17" s="238">
        <f t="shared" si="36"/>
        <v>0</v>
      </c>
      <c r="R17" s="238">
        <f t="shared" si="36"/>
        <v>0</v>
      </c>
      <c r="S17" s="238">
        <f t="shared" si="36"/>
        <v>0</v>
      </c>
      <c r="T17" s="238">
        <f t="shared" si="36"/>
        <v>0</v>
      </c>
      <c r="U17" s="238">
        <f t="shared" si="36"/>
        <v>0</v>
      </c>
      <c r="V17" s="238">
        <f t="shared" si="36"/>
        <v>0</v>
      </c>
      <c r="W17" s="238">
        <f t="shared" si="36"/>
        <v>0</v>
      </c>
      <c r="X17" s="238">
        <f t="shared" si="36"/>
        <v>0</v>
      </c>
      <c r="Y17" s="238">
        <f t="shared" si="36"/>
        <v>0</v>
      </c>
      <c r="Z17" s="238">
        <f t="shared" si="36"/>
        <v>0</v>
      </c>
      <c r="AA17" s="238">
        <f t="shared" si="36"/>
        <v>0</v>
      </c>
      <c r="AB17" s="238">
        <f t="shared" si="36"/>
        <v>0</v>
      </c>
      <c r="AC17" s="238">
        <f t="shared" si="36"/>
        <v>0</v>
      </c>
    </row>
    <row r="18" spans="1:29">
      <c r="A18" s="228"/>
      <c r="B18" s="228" t="s">
        <v>496</v>
      </c>
      <c r="C18" s="228"/>
      <c r="D18" s="239">
        <v>0</v>
      </c>
      <c r="E18" s="238">
        <f t="shared" ref="E18:L18" si="37">+D18</f>
        <v>0</v>
      </c>
      <c r="F18" s="238">
        <f t="shared" si="37"/>
        <v>0</v>
      </c>
      <c r="G18" s="238">
        <f t="shared" si="37"/>
        <v>0</v>
      </c>
      <c r="H18" s="238">
        <f t="shared" si="37"/>
        <v>0</v>
      </c>
      <c r="I18" s="238">
        <f t="shared" si="37"/>
        <v>0</v>
      </c>
      <c r="J18" s="238">
        <f t="shared" si="37"/>
        <v>0</v>
      </c>
      <c r="K18" s="238">
        <f t="shared" si="37"/>
        <v>0</v>
      </c>
      <c r="L18" s="238">
        <f t="shared" si="37"/>
        <v>0</v>
      </c>
      <c r="M18" s="238">
        <f t="shared" ref="M18" si="38">+L18</f>
        <v>0</v>
      </c>
      <c r="N18" s="238">
        <f t="shared" ref="N18" si="39">+M18</f>
        <v>0</v>
      </c>
      <c r="O18" s="238">
        <f t="shared" ref="O18" si="40">+N18</f>
        <v>0</v>
      </c>
      <c r="P18" s="238">
        <f t="shared" ref="P18" si="41">+O18</f>
        <v>0</v>
      </c>
      <c r="Q18" s="238">
        <f t="shared" ref="Q18" si="42">+P18</f>
        <v>0</v>
      </c>
      <c r="R18" s="238">
        <f t="shared" ref="R18" si="43">+Q18</f>
        <v>0</v>
      </c>
      <c r="S18" s="238">
        <f t="shared" ref="S18" si="44">+R18</f>
        <v>0</v>
      </c>
      <c r="T18" s="238">
        <f t="shared" ref="T18" si="45">+S18</f>
        <v>0</v>
      </c>
      <c r="U18" s="238">
        <f t="shared" ref="U18" si="46">+T18</f>
        <v>0</v>
      </c>
      <c r="V18" s="238">
        <f t="shared" ref="V18" si="47">+U18</f>
        <v>0</v>
      </c>
      <c r="W18" s="238">
        <f t="shared" ref="W18" si="48">+V18</f>
        <v>0</v>
      </c>
      <c r="X18" s="238">
        <f t="shared" ref="X18" si="49">+W18</f>
        <v>0</v>
      </c>
      <c r="Y18" s="238">
        <f t="shared" ref="Y18" si="50">+X18</f>
        <v>0</v>
      </c>
      <c r="Z18" s="238">
        <f t="shared" ref="Z18" si="51">+Y18</f>
        <v>0</v>
      </c>
      <c r="AA18" s="238">
        <f t="shared" ref="AA18" si="52">+Z18</f>
        <v>0</v>
      </c>
      <c r="AB18" s="238">
        <f t="shared" ref="AB18:AC18" si="53">+AA18</f>
        <v>0</v>
      </c>
      <c r="AC18" s="238">
        <f t="shared" si="53"/>
        <v>0</v>
      </c>
    </row>
    <row r="19" spans="1:29">
      <c r="A19" s="228"/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</row>
    <row r="20" spans="1:29">
      <c r="A20" s="228"/>
      <c r="B20" s="228" t="str">
        <f>+[3]BP!B15</f>
        <v>Despesas Antecipadas</v>
      </c>
      <c r="C20" s="228"/>
      <c r="D20" s="238">
        <f t="shared" ref="D20:AC20" si="54">-D21*D$9/D$7</f>
        <v>0</v>
      </c>
      <c r="E20" s="238">
        <f t="shared" si="54"/>
        <v>0</v>
      </c>
      <c r="F20" s="238">
        <f t="shared" si="54"/>
        <v>0</v>
      </c>
      <c r="G20" s="238">
        <f t="shared" si="54"/>
        <v>0</v>
      </c>
      <c r="H20" s="238">
        <f t="shared" si="54"/>
        <v>0</v>
      </c>
      <c r="I20" s="238">
        <f t="shared" si="54"/>
        <v>0</v>
      </c>
      <c r="J20" s="238">
        <f t="shared" si="54"/>
        <v>0</v>
      </c>
      <c r="K20" s="238">
        <f t="shared" si="54"/>
        <v>0</v>
      </c>
      <c r="L20" s="238">
        <f t="shared" si="54"/>
        <v>0</v>
      </c>
      <c r="M20" s="238">
        <f t="shared" si="54"/>
        <v>0</v>
      </c>
      <c r="N20" s="238">
        <f t="shared" si="54"/>
        <v>0</v>
      </c>
      <c r="O20" s="238">
        <f t="shared" si="54"/>
        <v>0</v>
      </c>
      <c r="P20" s="238">
        <f t="shared" si="54"/>
        <v>0</v>
      </c>
      <c r="Q20" s="238">
        <f t="shared" si="54"/>
        <v>0</v>
      </c>
      <c r="R20" s="238">
        <f t="shared" si="54"/>
        <v>0</v>
      </c>
      <c r="S20" s="238">
        <f t="shared" si="54"/>
        <v>0</v>
      </c>
      <c r="T20" s="238">
        <f t="shared" si="54"/>
        <v>0</v>
      </c>
      <c r="U20" s="238">
        <f t="shared" si="54"/>
        <v>0</v>
      </c>
      <c r="V20" s="238">
        <f t="shared" si="54"/>
        <v>0</v>
      </c>
      <c r="W20" s="238">
        <f t="shared" si="54"/>
        <v>0</v>
      </c>
      <c r="X20" s="238">
        <f t="shared" si="54"/>
        <v>0</v>
      </c>
      <c r="Y20" s="238">
        <f t="shared" si="54"/>
        <v>0</v>
      </c>
      <c r="Z20" s="238">
        <f t="shared" si="54"/>
        <v>0</v>
      </c>
      <c r="AA20" s="238">
        <f t="shared" si="54"/>
        <v>0</v>
      </c>
      <c r="AB20" s="238">
        <f t="shared" si="54"/>
        <v>0</v>
      </c>
      <c r="AC20" s="238">
        <f t="shared" si="54"/>
        <v>0</v>
      </c>
    </row>
    <row r="21" spans="1:29">
      <c r="A21" s="228"/>
      <c r="B21" s="228" t="s">
        <v>498</v>
      </c>
      <c r="C21" s="228"/>
      <c r="D21" s="239">
        <v>0</v>
      </c>
      <c r="E21" s="238">
        <f t="shared" ref="E21:L21" si="55">+D21</f>
        <v>0</v>
      </c>
      <c r="F21" s="238">
        <f t="shared" si="55"/>
        <v>0</v>
      </c>
      <c r="G21" s="238">
        <f t="shared" si="55"/>
        <v>0</v>
      </c>
      <c r="H21" s="238">
        <f t="shared" si="55"/>
        <v>0</v>
      </c>
      <c r="I21" s="238">
        <f t="shared" si="55"/>
        <v>0</v>
      </c>
      <c r="J21" s="238">
        <f t="shared" si="55"/>
        <v>0</v>
      </c>
      <c r="K21" s="238">
        <f t="shared" si="55"/>
        <v>0</v>
      </c>
      <c r="L21" s="238">
        <f t="shared" si="55"/>
        <v>0</v>
      </c>
      <c r="M21" s="238">
        <f t="shared" ref="M21" si="56">+L21</f>
        <v>0</v>
      </c>
      <c r="N21" s="238">
        <f t="shared" ref="N21" si="57">+M21</f>
        <v>0</v>
      </c>
      <c r="O21" s="238">
        <f t="shared" ref="O21" si="58">+N21</f>
        <v>0</v>
      </c>
      <c r="P21" s="238">
        <f t="shared" ref="P21" si="59">+O21</f>
        <v>0</v>
      </c>
      <c r="Q21" s="238">
        <f t="shared" ref="Q21" si="60">+P21</f>
        <v>0</v>
      </c>
      <c r="R21" s="238">
        <f t="shared" ref="R21" si="61">+Q21</f>
        <v>0</v>
      </c>
      <c r="S21" s="238">
        <f t="shared" ref="S21" si="62">+R21</f>
        <v>0</v>
      </c>
      <c r="T21" s="238">
        <f t="shared" ref="T21" si="63">+S21</f>
        <v>0</v>
      </c>
      <c r="U21" s="238">
        <f t="shared" ref="U21" si="64">+T21</f>
        <v>0</v>
      </c>
      <c r="V21" s="238">
        <f t="shared" ref="V21" si="65">+U21</f>
        <v>0</v>
      </c>
      <c r="W21" s="238">
        <f t="shared" ref="W21" si="66">+V21</f>
        <v>0</v>
      </c>
      <c r="X21" s="238">
        <f t="shared" ref="X21" si="67">+W21</f>
        <v>0</v>
      </c>
      <c r="Y21" s="238">
        <f t="shared" ref="Y21" si="68">+X21</f>
        <v>0</v>
      </c>
      <c r="Z21" s="238">
        <f t="shared" ref="Z21" si="69">+Y21</f>
        <v>0</v>
      </c>
      <c r="AA21" s="238">
        <f t="shared" ref="AA21" si="70">+Z21</f>
        <v>0</v>
      </c>
      <c r="AB21" s="238">
        <f t="shared" ref="AB21:AC21" si="71">+AA21</f>
        <v>0</v>
      </c>
      <c r="AC21" s="238">
        <f t="shared" si="71"/>
        <v>0</v>
      </c>
    </row>
    <row r="22" spans="1:29">
      <c r="A22" s="228"/>
      <c r="B22" s="228"/>
      <c r="C22" s="228"/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</row>
    <row r="23" spans="1:29">
      <c r="A23" s="228"/>
      <c r="B23" s="228" t="str">
        <f>[3]BP!B20</f>
        <v>Outras contas a receber</v>
      </c>
      <c r="C23" s="228"/>
      <c r="D23" s="238">
        <f t="shared" ref="D23:AC23" si="72">+D24*D$8/D$7</f>
        <v>0</v>
      </c>
      <c r="E23" s="238">
        <f t="shared" si="72"/>
        <v>0</v>
      </c>
      <c r="F23" s="238">
        <f t="shared" si="72"/>
        <v>0</v>
      </c>
      <c r="G23" s="238">
        <f t="shared" si="72"/>
        <v>0</v>
      </c>
      <c r="H23" s="238">
        <f t="shared" si="72"/>
        <v>0</v>
      </c>
      <c r="I23" s="238">
        <f t="shared" si="72"/>
        <v>0</v>
      </c>
      <c r="J23" s="238">
        <f t="shared" si="72"/>
        <v>0</v>
      </c>
      <c r="K23" s="238">
        <f t="shared" si="72"/>
        <v>0</v>
      </c>
      <c r="L23" s="238">
        <f t="shared" si="72"/>
        <v>0</v>
      </c>
      <c r="M23" s="238">
        <f t="shared" si="72"/>
        <v>0</v>
      </c>
      <c r="N23" s="238">
        <f t="shared" si="72"/>
        <v>0</v>
      </c>
      <c r="O23" s="238">
        <f t="shared" si="72"/>
        <v>0</v>
      </c>
      <c r="P23" s="238">
        <f t="shared" si="72"/>
        <v>0</v>
      </c>
      <c r="Q23" s="238">
        <f t="shared" si="72"/>
        <v>0</v>
      </c>
      <c r="R23" s="238">
        <f t="shared" si="72"/>
        <v>0</v>
      </c>
      <c r="S23" s="238">
        <f t="shared" si="72"/>
        <v>0</v>
      </c>
      <c r="T23" s="238">
        <f t="shared" si="72"/>
        <v>0</v>
      </c>
      <c r="U23" s="238">
        <f t="shared" si="72"/>
        <v>0</v>
      </c>
      <c r="V23" s="238">
        <f t="shared" si="72"/>
        <v>0</v>
      </c>
      <c r="W23" s="238">
        <f t="shared" si="72"/>
        <v>0</v>
      </c>
      <c r="X23" s="238">
        <f t="shared" si="72"/>
        <v>0</v>
      </c>
      <c r="Y23" s="238">
        <f t="shared" si="72"/>
        <v>0</v>
      </c>
      <c r="Z23" s="238">
        <f t="shared" si="72"/>
        <v>0</v>
      </c>
      <c r="AA23" s="238">
        <f t="shared" si="72"/>
        <v>0</v>
      </c>
      <c r="AB23" s="238">
        <f t="shared" si="72"/>
        <v>0</v>
      </c>
      <c r="AC23" s="238">
        <f t="shared" si="72"/>
        <v>0</v>
      </c>
    </row>
    <row r="24" spans="1:29">
      <c r="A24" s="228"/>
      <c r="B24" s="228" t="s">
        <v>496</v>
      </c>
      <c r="C24" s="228"/>
      <c r="D24" s="238">
        <v>0</v>
      </c>
      <c r="E24" s="238">
        <f t="shared" ref="E24:L24" si="73">+D24</f>
        <v>0</v>
      </c>
      <c r="F24" s="238">
        <f t="shared" si="73"/>
        <v>0</v>
      </c>
      <c r="G24" s="238">
        <f t="shared" si="73"/>
        <v>0</v>
      </c>
      <c r="H24" s="238">
        <f t="shared" si="73"/>
        <v>0</v>
      </c>
      <c r="I24" s="238">
        <f t="shared" si="73"/>
        <v>0</v>
      </c>
      <c r="J24" s="238">
        <f t="shared" si="73"/>
        <v>0</v>
      </c>
      <c r="K24" s="238">
        <f t="shared" si="73"/>
        <v>0</v>
      </c>
      <c r="L24" s="238">
        <f t="shared" si="73"/>
        <v>0</v>
      </c>
      <c r="M24" s="238">
        <f t="shared" ref="M24" si="74">+L24</f>
        <v>0</v>
      </c>
      <c r="N24" s="238">
        <f t="shared" ref="N24" si="75">+M24</f>
        <v>0</v>
      </c>
      <c r="O24" s="238">
        <f t="shared" ref="O24" si="76">+N24</f>
        <v>0</v>
      </c>
      <c r="P24" s="238">
        <f t="shared" ref="P24" si="77">+O24</f>
        <v>0</v>
      </c>
      <c r="Q24" s="238">
        <f t="shared" ref="Q24" si="78">+P24</f>
        <v>0</v>
      </c>
      <c r="R24" s="238">
        <f t="shared" ref="R24" si="79">+Q24</f>
        <v>0</v>
      </c>
      <c r="S24" s="238">
        <f t="shared" ref="S24" si="80">+R24</f>
        <v>0</v>
      </c>
      <c r="T24" s="238">
        <f t="shared" ref="T24" si="81">+S24</f>
        <v>0</v>
      </c>
      <c r="U24" s="238">
        <f t="shared" ref="U24" si="82">+T24</f>
        <v>0</v>
      </c>
      <c r="V24" s="238">
        <f t="shared" ref="V24" si="83">+U24</f>
        <v>0</v>
      </c>
      <c r="W24" s="238">
        <f t="shared" ref="W24" si="84">+V24</f>
        <v>0</v>
      </c>
      <c r="X24" s="238">
        <f t="shared" ref="X24" si="85">+W24</f>
        <v>0</v>
      </c>
      <c r="Y24" s="238">
        <f t="shared" ref="Y24" si="86">+X24</f>
        <v>0</v>
      </c>
      <c r="Z24" s="238">
        <f t="shared" ref="Z24" si="87">+Y24</f>
        <v>0</v>
      </c>
      <c r="AA24" s="238">
        <f t="shared" ref="AA24" si="88">+Z24</f>
        <v>0</v>
      </c>
      <c r="AB24" s="238">
        <f t="shared" ref="AB24:AC24" si="89">+AA24</f>
        <v>0</v>
      </c>
      <c r="AC24" s="238">
        <f t="shared" si="89"/>
        <v>0</v>
      </c>
    </row>
    <row r="25" spans="1:29">
      <c r="A25" s="228"/>
      <c r="B25" s="228"/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AC25" s="39"/>
    </row>
    <row r="26" spans="1:29">
      <c r="A26" s="228"/>
      <c r="B26" s="240" t="s">
        <v>499</v>
      </c>
      <c r="C26" s="241">
        <v>0</v>
      </c>
      <c r="D26" s="242">
        <f t="shared" ref="D26:L26" si="90">+D11+D14+D17+D20+D23</f>
        <v>2208650.1135146702</v>
      </c>
      <c r="E26" s="242">
        <f t="shared" si="90"/>
        <v>2169368.3137605828</v>
      </c>
      <c r="F26" s="242">
        <f t="shared" si="90"/>
        <v>2335745.3084258297</v>
      </c>
      <c r="G26" s="242">
        <f t="shared" si="90"/>
        <v>2508047.8612147388</v>
      </c>
      <c r="H26" s="242">
        <f t="shared" si="90"/>
        <v>2707875.5623284667</v>
      </c>
      <c r="I26" s="242">
        <f t="shared" si="90"/>
        <v>2915677.6979072229</v>
      </c>
      <c r="J26" s="242">
        <f t="shared" si="90"/>
        <v>3139470.1844985699</v>
      </c>
      <c r="K26" s="242">
        <f t="shared" si="90"/>
        <v>3371249.6866562902</v>
      </c>
      <c r="L26" s="243">
        <f t="shared" si="90"/>
        <v>3640053.2669738578</v>
      </c>
      <c r="M26" s="243">
        <f t="shared" ref="M26:AB26" si="91">+M11+M14+M17+M20+M23</f>
        <v>3908894.036647026</v>
      </c>
      <c r="N26" s="243">
        <f t="shared" si="91"/>
        <v>4272554.4950361317</v>
      </c>
      <c r="O26" s="243">
        <f t="shared" si="91"/>
        <v>4507885.2370071234</v>
      </c>
      <c r="P26" s="243">
        <f t="shared" si="91"/>
        <v>4841115.8030055724</v>
      </c>
      <c r="Q26" s="243">
        <f t="shared" si="91"/>
        <v>5199083.2881582389</v>
      </c>
      <c r="R26" s="243">
        <f t="shared" si="91"/>
        <v>5583628.4721341487</v>
      </c>
      <c r="S26" s="243">
        <f t="shared" si="91"/>
        <v>5996733.6900089812</v>
      </c>
      <c r="T26" s="243">
        <f t="shared" si="91"/>
        <v>6440526.0083996831</v>
      </c>
      <c r="U26" s="243">
        <f t="shared" si="91"/>
        <v>6917293.248426442</v>
      </c>
      <c r="V26" s="243">
        <f t="shared" si="91"/>
        <v>7429493.1722881794</v>
      </c>
      <c r="W26" s="243">
        <f t="shared" si="91"/>
        <v>7979768.482545862</v>
      </c>
      <c r="X26" s="243">
        <f t="shared" si="91"/>
        <v>8570958.1589389853</v>
      </c>
      <c r="Y26" s="243">
        <f t="shared" si="91"/>
        <v>9206113.6887410171</v>
      </c>
      <c r="Z26" s="243">
        <f t="shared" si="91"/>
        <v>9888516.8960653972</v>
      </c>
      <c r="AA26" s="243">
        <f t="shared" si="91"/>
        <v>10621691.852562333</v>
      </c>
      <c r="AB26" s="243">
        <f t="shared" si="91"/>
        <v>11409427.8781376</v>
      </c>
      <c r="AC26" s="243">
        <f t="shared" ref="AC26" si="92">+AC11+AC14+AC17+AC20+AC23</f>
        <v>0</v>
      </c>
    </row>
    <row r="27" spans="1:29">
      <c r="A27" s="228"/>
      <c r="B27" s="236" t="s">
        <v>500</v>
      </c>
      <c r="C27" s="244"/>
      <c r="D27" s="245">
        <f>-(D26-C26)</f>
        <v>-2208650.1135146702</v>
      </c>
      <c r="E27" s="245">
        <f>-(E26-D26)</f>
        <v>39281.799754087348</v>
      </c>
      <c r="F27" s="245">
        <f t="shared" ref="F27:L27" si="93">-(F26-E26)</f>
        <v>-166376.99466524692</v>
      </c>
      <c r="G27" s="245">
        <f t="shared" si="93"/>
        <v>-172302.55278890906</v>
      </c>
      <c r="H27" s="245">
        <f t="shared" si="93"/>
        <v>-199827.70111372788</v>
      </c>
      <c r="I27" s="245">
        <f t="shared" si="93"/>
        <v>-207802.13557875622</v>
      </c>
      <c r="J27" s="245">
        <f t="shared" si="93"/>
        <v>-223792.48659134703</v>
      </c>
      <c r="K27" s="245">
        <f t="shared" si="93"/>
        <v>-231779.50215772027</v>
      </c>
      <c r="L27" s="246">
        <f t="shared" si="93"/>
        <v>-268803.58031756757</v>
      </c>
      <c r="M27" s="246">
        <f t="shared" ref="M27" si="94">-(M26-L26)</f>
        <v>-268840.76967316819</v>
      </c>
      <c r="N27" s="246">
        <f t="shared" ref="N27" si="95">-(N26-M26)</f>
        <v>-363660.45838910574</v>
      </c>
      <c r="O27" s="246">
        <f t="shared" ref="O27" si="96">-(O26-N26)</f>
        <v>-235330.74197099172</v>
      </c>
      <c r="P27" s="246">
        <f t="shared" ref="P27" si="97">-(P26-O26)</f>
        <v>-333230.56599844899</v>
      </c>
      <c r="Q27" s="246">
        <f t="shared" ref="Q27" si="98">-(Q26-P26)</f>
        <v>-357967.48515266646</v>
      </c>
      <c r="R27" s="246">
        <f t="shared" ref="R27" si="99">-(R26-Q26)</f>
        <v>-384545.18397590984</v>
      </c>
      <c r="S27" s="246">
        <f t="shared" ref="S27" si="100">-(S26-R26)</f>
        <v>-413105.21787483245</v>
      </c>
      <c r="T27" s="246">
        <f t="shared" ref="T27" si="101">-(T26-S26)</f>
        <v>-443792.3183907019</v>
      </c>
      <c r="U27" s="246">
        <f t="shared" ref="U27" si="102">-(U26-T26)</f>
        <v>-476767.24002675898</v>
      </c>
      <c r="V27" s="246">
        <f t="shared" ref="V27" si="103">-(V26-U26)</f>
        <v>-512199.92386173736</v>
      </c>
      <c r="W27" s="246">
        <f t="shared" ref="W27" si="104">-(W26-V26)</f>
        <v>-550275.31025768258</v>
      </c>
      <c r="X27" s="246">
        <f t="shared" ref="X27" si="105">-(X26-W26)</f>
        <v>-591189.67639312334</v>
      </c>
      <c r="Y27" s="246">
        <f t="shared" ref="Y27" si="106">-(Y26-X26)</f>
        <v>-635155.52980203182</v>
      </c>
      <c r="Z27" s="246">
        <f t="shared" ref="Z27" si="107">-(Z26-Y26)</f>
        <v>-682403.20732438006</v>
      </c>
      <c r="AA27" s="246">
        <f t="shared" ref="AA27" si="108">-(AA26-Z26)</f>
        <v>-733174.95649693534</v>
      </c>
      <c r="AB27" s="246">
        <f t="shared" ref="AB27" si="109">-(AB26-AA26)</f>
        <v>-787736.02557526715</v>
      </c>
      <c r="AC27" s="246">
        <f>-(AC26-AB26)</f>
        <v>11409427.8781376</v>
      </c>
    </row>
    <row r="28" spans="1:29">
      <c r="A28" s="228"/>
      <c r="B28" s="228"/>
      <c r="C28" s="228"/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</row>
    <row r="29" spans="1:29">
      <c r="A29" s="228"/>
      <c r="B29" s="228" t="str">
        <f>+[3]BP!B47</f>
        <v>Fornecedores</v>
      </c>
      <c r="C29" s="228"/>
      <c r="D29" s="238">
        <f>-D30*D$9/D$7</f>
        <v>439003.59271722892</v>
      </c>
      <c r="E29" s="238">
        <f t="shared" ref="E29:AC29" si="110">-E30*E$9/E$7</f>
        <v>466030.8406932847</v>
      </c>
      <c r="F29" s="238">
        <f t="shared" si="110"/>
        <v>494736.57846677763</v>
      </c>
      <c r="G29" s="238">
        <f t="shared" si="110"/>
        <v>523790.99518237065</v>
      </c>
      <c r="H29" s="238">
        <f t="shared" si="110"/>
        <v>557611.09645272128</v>
      </c>
      <c r="I29" s="238">
        <f t="shared" si="110"/>
        <v>592010.73627848376</v>
      </c>
      <c r="J29" s="238">
        <f t="shared" si="110"/>
        <v>628551.47622819932</v>
      </c>
      <c r="K29" s="238">
        <f t="shared" si="110"/>
        <v>665544.44806240825</v>
      </c>
      <c r="L29" s="238">
        <f t="shared" si="110"/>
        <v>708602.96311704791</v>
      </c>
      <c r="M29" s="238">
        <f t="shared" si="110"/>
        <v>750353.20892557094</v>
      </c>
      <c r="N29" s="238">
        <f t="shared" si="110"/>
        <v>794593.78550938051</v>
      </c>
      <c r="O29" s="238">
        <f t="shared" si="110"/>
        <v>841475.1235445746</v>
      </c>
      <c r="P29" s="238">
        <f t="shared" si="110"/>
        <v>891156.86594553106</v>
      </c>
      <c r="Q29" s="238">
        <f t="shared" si="110"/>
        <v>943808.43581665307</v>
      </c>
      <c r="R29" s="238">
        <f t="shared" si="110"/>
        <v>999609.60269961716</v>
      </c>
      <c r="S29" s="238">
        <f t="shared" si="110"/>
        <v>1058751.220002895</v>
      </c>
      <c r="T29" s="238">
        <f t="shared" si="110"/>
        <v>1121435.8067773038</v>
      </c>
      <c r="U29" s="238">
        <f t="shared" si="110"/>
        <v>1187878.3488625456</v>
      </c>
      <c r="V29" s="238">
        <f t="shared" si="110"/>
        <v>1258307.0303996059</v>
      </c>
      <c r="W29" s="238">
        <f t="shared" si="110"/>
        <v>1332964.0896376306</v>
      </c>
      <c r="X29" s="238">
        <f t="shared" si="110"/>
        <v>1412106.6617424777</v>
      </c>
      <c r="Y29" s="238">
        <f t="shared" si="110"/>
        <v>1496007.7244352689</v>
      </c>
      <c r="Z29" s="238">
        <f t="shared" si="110"/>
        <v>1584957.1207698134</v>
      </c>
      <c r="AA29" s="238">
        <f t="shared" si="110"/>
        <v>1679262.5264056406</v>
      </c>
      <c r="AB29" s="238">
        <f t="shared" si="110"/>
        <v>1779250.6494826498</v>
      </c>
      <c r="AC29" s="238">
        <f t="shared" si="110"/>
        <v>0</v>
      </c>
    </row>
    <row r="30" spans="1:29">
      <c r="A30" s="228"/>
      <c r="B30" s="228" t="s">
        <v>501</v>
      </c>
      <c r="C30" s="228"/>
      <c r="D30" s="239">
        <v>21</v>
      </c>
      <c r="E30" s="238">
        <f t="shared" ref="E30:L30" si="111">+D30</f>
        <v>21</v>
      </c>
      <c r="F30" s="238">
        <f t="shared" si="111"/>
        <v>21</v>
      </c>
      <c r="G30" s="238">
        <f t="shared" si="111"/>
        <v>21</v>
      </c>
      <c r="H30" s="238">
        <f t="shared" si="111"/>
        <v>21</v>
      </c>
      <c r="I30" s="238">
        <f t="shared" si="111"/>
        <v>21</v>
      </c>
      <c r="J30" s="238">
        <f t="shared" si="111"/>
        <v>21</v>
      </c>
      <c r="K30" s="238">
        <f t="shared" si="111"/>
        <v>21</v>
      </c>
      <c r="L30" s="238">
        <f t="shared" si="111"/>
        <v>21</v>
      </c>
      <c r="M30" s="238">
        <f t="shared" ref="M30" si="112">+L30</f>
        <v>21</v>
      </c>
      <c r="N30" s="238">
        <f t="shared" ref="N30" si="113">+M30</f>
        <v>21</v>
      </c>
      <c r="O30" s="238">
        <f t="shared" ref="O30" si="114">+N30</f>
        <v>21</v>
      </c>
      <c r="P30" s="238">
        <f t="shared" ref="P30" si="115">+O30</f>
        <v>21</v>
      </c>
      <c r="Q30" s="238">
        <f t="shared" ref="Q30" si="116">+P30</f>
        <v>21</v>
      </c>
      <c r="R30" s="238">
        <f t="shared" ref="R30" si="117">+Q30</f>
        <v>21</v>
      </c>
      <c r="S30" s="238">
        <f t="shared" ref="S30" si="118">+R30</f>
        <v>21</v>
      </c>
      <c r="T30" s="238">
        <f t="shared" ref="T30" si="119">+S30</f>
        <v>21</v>
      </c>
      <c r="U30" s="238">
        <f t="shared" ref="U30" si="120">+T30</f>
        <v>21</v>
      </c>
      <c r="V30" s="238">
        <f t="shared" ref="V30" si="121">+U30</f>
        <v>21</v>
      </c>
      <c r="W30" s="238">
        <f t="shared" ref="W30" si="122">+V30</f>
        <v>21</v>
      </c>
      <c r="X30" s="238">
        <f t="shared" ref="X30" si="123">+W30</f>
        <v>21</v>
      </c>
      <c r="Y30" s="238">
        <f t="shared" ref="Y30" si="124">+X30</f>
        <v>21</v>
      </c>
      <c r="Z30" s="238">
        <f t="shared" ref="Z30" si="125">+Y30</f>
        <v>21</v>
      </c>
      <c r="AA30" s="238">
        <f t="shared" ref="AA30" si="126">+Z30</f>
        <v>21</v>
      </c>
      <c r="AB30" s="238">
        <f t="shared" ref="AB30:AC30" si="127">+AA30</f>
        <v>21</v>
      </c>
      <c r="AC30" s="238">
        <f t="shared" si="127"/>
        <v>21</v>
      </c>
    </row>
    <row r="31" spans="1:29">
      <c r="A31" s="228"/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</row>
    <row r="32" spans="1:29">
      <c r="A32" s="228"/>
      <c r="B32" s="228" t="str">
        <f>+[3]BP!B49</f>
        <v>Provisões trabalhistas e obrigações sociais</v>
      </c>
      <c r="C32" s="228"/>
      <c r="D32" s="238">
        <f>-D33*D$9/D$7</f>
        <v>0</v>
      </c>
      <c r="E32" s="238">
        <f t="shared" ref="E32:AC32" si="128">-E33*E$9/E$7</f>
        <v>0</v>
      </c>
      <c r="F32" s="238">
        <f t="shared" si="128"/>
        <v>0</v>
      </c>
      <c r="G32" s="238">
        <f t="shared" si="128"/>
        <v>0</v>
      </c>
      <c r="H32" s="238">
        <f t="shared" si="128"/>
        <v>0</v>
      </c>
      <c r="I32" s="238">
        <f t="shared" si="128"/>
        <v>0</v>
      </c>
      <c r="J32" s="238">
        <f t="shared" si="128"/>
        <v>0</v>
      </c>
      <c r="K32" s="238">
        <f t="shared" si="128"/>
        <v>0</v>
      </c>
      <c r="L32" s="238">
        <f t="shared" si="128"/>
        <v>0</v>
      </c>
      <c r="M32" s="238">
        <f t="shared" si="128"/>
        <v>0</v>
      </c>
      <c r="N32" s="238">
        <f t="shared" si="128"/>
        <v>0</v>
      </c>
      <c r="O32" s="238">
        <f t="shared" si="128"/>
        <v>0</v>
      </c>
      <c r="P32" s="238">
        <f t="shared" si="128"/>
        <v>0</v>
      </c>
      <c r="Q32" s="238">
        <f t="shared" si="128"/>
        <v>0</v>
      </c>
      <c r="R32" s="238">
        <f t="shared" si="128"/>
        <v>0</v>
      </c>
      <c r="S32" s="238">
        <f t="shared" si="128"/>
        <v>0</v>
      </c>
      <c r="T32" s="238">
        <f t="shared" si="128"/>
        <v>0</v>
      </c>
      <c r="U32" s="238">
        <f t="shared" si="128"/>
        <v>0</v>
      </c>
      <c r="V32" s="238">
        <f t="shared" si="128"/>
        <v>0</v>
      </c>
      <c r="W32" s="238">
        <f t="shared" si="128"/>
        <v>0</v>
      </c>
      <c r="X32" s="238">
        <f t="shared" si="128"/>
        <v>0</v>
      </c>
      <c r="Y32" s="238">
        <f t="shared" si="128"/>
        <v>0</v>
      </c>
      <c r="Z32" s="238">
        <f t="shared" si="128"/>
        <v>0</v>
      </c>
      <c r="AA32" s="238">
        <f t="shared" si="128"/>
        <v>0</v>
      </c>
      <c r="AB32" s="238">
        <f t="shared" si="128"/>
        <v>0</v>
      </c>
      <c r="AC32" s="238">
        <f t="shared" si="128"/>
        <v>0</v>
      </c>
    </row>
    <row r="33" spans="1:29">
      <c r="A33" s="228"/>
      <c r="B33" s="228" t="s">
        <v>501</v>
      </c>
      <c r="C33" s="228"/>
      <c r="D33" s="239">
        <v>0</v>
      </c>
      <c r="E33" s="238">
        <f t="shared" ref="E33:L33" si="129">+D33</f>
        <v>0</v>
      </c>
      <c r="F33" s="238">
        <f t="shared" si="129"/>
        <v>0</v>
      </c>
      <c r="G33" s="238">
        <f t="shared" si="129"/>
        <v>0</v>
      </c>
      <c r="H33" s="238">
        <f t="shared" si="129"/>
        <v>0</v>
      </c>
      <c r="I33" s="238">
        <f t="shared" si="129"/>
        <v>0</v>
      </c>
      <c r="J33" s="238">
        <f t="shared" si="129"/>
        <v>0</v>
      </c>
      <c r="K33" s="238">
        <f t="shared" si="129"/>
        <v>0</v>
      </c>
      <c r="L33" s="238">
        <f t="shared" si="129"/>
        <v>0</v>
      </c>
      <c r="M33" s="238">
        <f t="shared" ref="M33" si="130">+L33</f>
        <v>0</v>
      </c>
      <c r="N33" s="238">
        <f t="shared" ref="N33" si="131">+M33</f>
        <v>0</v>
      </c>
      <c r="O33" s="238">
        <f t="shared" ref="O33" si="132">+N33</f>
        <v>0</v>
      </c>
      <c r="P33" s="238">
        <f t="shared" ref="P33" si="133">+O33</f>
        <v>0</v>
      </c>
      <c r="Q33" s="238">
        <f t="shared" ref="Q33" si="134">+P33</f>
        <v>0</v>
      </c>
      <c r="R33" s="238">
        <f t="shared" ref="R33" si="135">+Q33</f>
        <v>0</v>
      </c>
      <c r="S33" s="238">
        <f t="shared" ref="S33" si="136">+R33</f>
        <v>0</v>
      </c>
      <c r="T33" s="238">
        <f t="shared" ref="T33" si="137">+S33</f>
        <v>0</v>
      </c>
      <c r="U33" s="238">
        <f t="shared" ref="U33" si="138">+T33</f>
        <v>0</v>
      </c>
      <c r="V33" s="238">
        <f t="shared" ref="V33" si="139">+U33</f>
        <v>0</v>
      </c>
      <c r="W33" s="238">
        <f t="shared" ref="W33" si="140">+V33</f>
        <v>0</v>
      </c>
      <c r="X33" s="238">
        <f t="shared" ref="X33" si="141">+W33</f>
        <v>0</v>
      </c>
      <c r="Y33" s="238">
        <f t="shared" ref="Y33" si="142">+X33</f>
        <v>0</v>
      </c>
      <c r="Z33" s="238">
        <f t="shared" ref="Z33" si="143">+Y33</f>
        <v>0</v>
      </c>
      <c r="AA33" s="238">
        <f t="shared" ref="AA33" si="144">+Z33</f>
        <v>0</v>
      </c>
      <c r="AB33" s="238">
        <f t="shared" ref="AB33:AC33" si="145">+AA33</f>
        <v>0</v>
      </c>
      <c r="AC33" s="238">
        <f t="shared" si="145"/>
        <v>0</v>
      </c>
    </row>
    <row r="34" spans="1:29">
      <c r="A34" s="228"/>
      <c r="B34" s="228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</row>
    <row r="35" spans="1:29">
      <c r="A35" s="228"/>
      <c r="B35" s="228" t="str">
        <f>+[3]BP!B50</f>
        <v>Impostos, taxas e contribuições</v>
      </c>
      <c r="C35" s="228"/>
      <c r="D35" s="238">
        <f>-D36*D$9/D$7</f>
        <v>0</v>
      </c>
      <c r="E35" s="238">
        <f t="shared" ref="E35:AC35" si="146">-E36*E$9/E$7</f>
        <v>0</v>
      </c>
      <c r="F35" s="238">
        <f t="shared" si="146"/>
        <v>0</v>
      </c>
      <c r="G35" s="238">
        <f t="shared" si="146"/>
        <v>0</v>
      </c>
      <c r="H35" s="238">
        <f t="shared" si="146"/>
        <v>0</v>
      </c>
      <c r="I35" s="238">
        <f t="shared" si="146"/>
        <v>0</v>
      </c>
      <c r="J35" s="238">
        <f t="shared" si="146"/>
        <v>0</v>
      </c>
      <c r="K35" s="238">
        <f t="shared" si="146"/>
        <v>0</v>
      </c>
      <c r="L35" s="238">
        <f t="shared" si="146"/>
        <v>0</v>
      </c>
      <c r="M35" s="238">
        <f t="shared" si="146"/>
        <v>0</v>
      </c>
      <c r="N35" s="238">
        <f t="shared" si="146"/>
        <v>0</v>
      </c>
      <c r="O35" s="238">
        <f t="shared" si="146"/>
        <v>0</v>
      </c>
      <c r="P35" s="238">
        <f t="shared" si="146"/>
        <v>0</v>
      </c>
      <c r="Q35" s="238">
        <f t="shared" si="146"/>
        <v>0</v>
      </c>
      <c r="R35" s="238">
        <f t="shared" si="146"/>
        <v>0</v>
      </c>
      <c r="S35" s="238">
        <f t="shared" si="146"/>
        <v>0</v>
      </c>
      <c r="T35" s="238">
        <f t="shared" si="146"/>
        <v>0</v>
      </c>
      <c r="U35" s="238">
        <f t="shared" si="146"/>
        <v>0</v>
      </c>
      <c r="V35" s="238">
        <f t="shared" si="146"/>
        <v>0</v>
      </c>
      <c r="W35" s="238">
        <f t="shared" si="146"/>
        <v>0</v>
      </c>
      <c r="X35" s="238">
        <f t="shared" si="146"/>
        <v>0</v>
      </c>
      <c r="Y35" s="238">
        <f t="shared" si="146"/>
        <v>0</v>
      </c>
      <c r="Z35" s="238">
        <f t="shared" si="146"/>
        <v>0</v>
      </c>
      <c r="AA35" s="238">
        <f t="shared" si="146"/>
        <v>0</v>
      </c>
      <c r="AB35" s="238">
        <f t="shared" si="146"/>
        <v>0</v>
      </c>
      <c r="AC35" s="238">
        <f t="shared" si="146"/>
        <v>0</v>
      </c>
    </row>
    <row r="36" spans="1:29">
      <c r="A36" s="228"/>
      <c r="B36" s="228" t="s">
        <v>501</v>
      </c>
      <c r="C36" s="228"/>
      <c r="D36" s="239">
        <v>0</v>
      </c>
      <c r="E36" s="238">
        <f t="shared" ref="E36:L36" si="147">+D36</f>
        <v>0</v>
      </c>
      <c r="F36" s="238">
        <f t="shared" si="147"/>
        <v>0</v>
      </c>
      <c r="G36" s="238">
        <f t="shared" si="147"/>
        <v>0</v>
      </c>
      <c r="H36" s="238">
        <f t="shared" si="147"/>
        <v>0</v>
      </c>
      <c r="I36" s="238">
        <f t="shared" si="147"/>
        <v>0</v>
      </c>
      <c r="J36" s="238">
        <f t="shared" si="147"/>
        <v>0</v>
      </c>
      <c r="K36" s="238">
        <f t="shared" si="147"/>
        <v>0</v>
      </c>
      <c r="L36" s="238">
        <f t="shared" si="147"/>
        <v>0</v>
      </c>
      <c r="M36" s="238">
        <f t="shared" ref="M36" si="148">+L36</f>
        <v>0</v>
      </c>
      <c r="N36" s="238">
        <f t="shared" ref="N36" si="149">+M36</f>
        <v>0</v>
      </c>
      <c r="O36" s="238">
        <f t="shared" ref="O36" si="150">+N36</f>
        <v>0</v>
      </c>
      <c r="P36" s="238">
        <f t="shared" ref="P36" si="151">+O36</f>
        <v>0</v>
      </c>
      <c r="Q36" s="238">
        <f t="shared" ref="Q36" si="152">+P36</f>
        <v>0</v>
      </c>
      <c r="R36" s="238">
        <f t="shared" ref="R36" si="153">+Q36</f>
        <v>0</v>
      </c>
      <c r="S36" s="238">
        <f t="shared" ref="S36" si="154">+R36</f>
        <v>0</v>
      </c>
      <c r="T36" s="238">
        <f t="shared" ref="T36" si="155">+S36</f>
        <v>0</v>
      </c>
      <c r="U36" s="238">
        <f t="shared" ref="U36" si="156">+T36</f>
        <v>0</v>
      </c>
      <c r="V36" s="238">
        <f t="shared" ref="V36" si="157">+U36</f>
        <v>0</v>
      </c>
      <c r="W36" s="238">
        <f t="shared" ref="W36" si="158">+V36</f>
        <v>0</v>
      </c>
      <c r="X36" s="238">
        <f t="shared" ref="X36" si="159">+W36</f>
        <v>0</v>
      </c>
      <c r="Y36" s="238">
        <f t="shared" ref="Y36" si="160">+X36</f>
        <v>0</v>
      </c>
      <c r="Z36" s="238">
        <f t="shared" ref="Z36" si="161">+Y36</f>
        <v>0</v>
      </c>
      <c r="AA36" s="238">
        <f t="shared" ref="AA36" si="162">+Z36</f>
        <v>0</v>
      </c>
      <c r="AB36" s="238">
        <f t="shared" ref="AB36:AC36" si="163">+AA36</f>
        <v>0</v>
      </c>
      <c r="AC36" s="238">
        <f t="shared" si="163"/>
        <v>0</v>
      </c>
    </row>
    <row r="37" spans="1:29">
      <c r="A37" s="228"/>
      <c r="B37" s="228"/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</row>
    <row r="38" spans="1:29">
      <c r="A38" s="228"/>
      <c r="B38" s="228" t="str">
        <f>+[3]BP!B55</f>
        <v>Outras Contas a Pagar</v>
      </c>
      <c r="C38" s="228"/>
      <c r="D38" s="238">
        <f t="shared" ref="D38:AC38" si="164">-D39*D$9/D$7</f>
        <v>0</v>
      </c>
      <c r="E38" s="238">
        <f t="shared" si="164"/>
        <v>0</v>
      </c>
      <c r="F38" s="238">
        <f t="shared" si="164"/>
        <v>0</v>
      </c>
      <c r="G38" s="238">
        <f t="shared" si="164"/>
        <v>0</v>
      </c>
      <c r="H38" s="238">
        <f t="shared" si="164"/>
        <v>0</v>
      </c>
      <c r="I38" s="238">
        <f t="shared" si="164"/>
        <v>0</v>
      </c>
      <c r="J38" s="238">
        <f t="shared" si="164"/>
        <v>0</v>
      </c>
      <c r="K38" s="238">
        <f t="shared" si="164"/>
        <v>0</v>
      </c>
      <c r="L38" s="238">
        <f t="shared" si="164"/>
        <v>0</v>
      </c>
      <c r="M38" s="238">
        <f t="shared" si="164"/>
        <v>0</v>
      </c>
      <c r="N38" s="238">
        <f t="shared" si="164"/>
        <v>0</v>
      </c>
      <c r="O38" s="238">
        <f t="shared" si="164"/>
        <v>0</v>
      </c>
      <c r="P38" s="238">
        <f t="shared" si="164"/>
        <v>0</v>
      </c>
      <c r="Q38" s="238">
        <f t="shared" si="164"/>
        <v>0</v>
      </c>
      <c r="R38" s="238">
        <f t="shared" si="164"/>
        <v>0</v>
      </c>
      <c r="S38" s="238">
        <f t="shared" si="164"/>
        <v>0</v>
      </c>
      <c r="T38" s="238">
        <f t="shared" si="164"/>
        <v>0</v>
      </c>
      <c r="U38" s="238">
        <f t="shared" si="164"/>
        <v>0</v>
      </c>
      <c r="V38" s="238">
        <f t="shared" si="164"/>
        <v>0</v>
      </c>
      <c r="W38" s="238">
        <f t="shared" si="164"/>
        <v>0</v>
      </c>
      <c r="X38" s="238">
        <f t="shared" si="164"/>
        <v>0</v>
      </c>
      <c r="Y38" s="238">
        <f t="shared" si="164"/>
        <v>0</v>
      </c>
      <c r="Z38" s="238">
        <f t="shared" si="164"/>
        <v>0</v>
      </c>
      <c r="AA38" s="238">
        <f t="shared" si="164"/>
        <v>0</v>
      </c>
      <c r="AB38" s="238">
        <f t="shared" si="164"/>
        <v>0</v>
      </c>
      <c r="AC38" s="238">
        <f t="shared" si="164"/>
        <v>0</v>
      </c>
    </row>
    <row r="39" spans="1:29">
      <c r="A39" s="228"/>
      <c r="B39" s="228" t="s">
        <v>501</v>
      </c>
      <c r="C39" s="228"/>
      <c r="D39" s="239">
        <v>0</v>
      </c>
      <c r="E39" s="238">
        <f t="shared" ref="E39:L39" si="165">+D39</f>
        <v>0</v>
      </c>
      <c r="F39" s="238">
        <f t="shared" si="165"/>
        <v>0</v>
      </c>
      <c r="G39" s="238">
        <f t="shared" si="165"/>
        <v>0</v>
      </c>
      <c r="H39" s="238">
        <f t="shared" si="165"/>
        <v>0</v>
      </c>
      <c r="I39" s="238">
        <f t="shared" si="165"/>
        <v>0</v>
      </c>
      <c r="J39" s="238">
        <f t="shared" si="165"/>
        <v>0</v>
      </c>
      <c r="K39" s="238">
        <f t="shared" si="165"/>
        <v>0</v>
      </c>
      <c r="L39" s="238">
        <f t="shared" si="165"/>
        <v>0</v>
      </c>
      <c r="M39" s="238">
        <f t="shared" ref="M39" si="166">+L39</f>
        <v>0</v>
      </c>
      <c r="N39" s="238">
        <f t="shared" ref="N39" si="167">+M39</f>
        <v>0</v>
      </c>
      <c r="O39" s="238">
        <f t="shared" ref="O39" si="168">+N39</f>
        <v>0</v>
      </c>
      <c r="P39" s="238">
        <f t="shared" ref="P39" si="169">+O39</f>
        <v>0</v>
      </c>
      <c r="Q39" s="238">
        <f t="shared" ref="Q39" si="170">+P39</f>
        <v>0</v>
      </c>
      <c r="R39" s="238">
        <f t="shared" ref="R39" si="171">+Q39</f>
        <v>0</v>
      </c>
      <c r="S39" s="238">
        <f t="shared" ref="S39" si="172">+R39</f>
        <v>0</v>
      </c>
      <c r="T39" s="238">
        <f t="shared" ref="T39" si="173">+S39</f>
        <v>0</v>
      </c>
      <c r="U39" s="238">
        <f t="shared" ref="U39" si="174">+T39</f>
        <v>0</v>
      </c>
      <c r="V39" s="238">
        <f t="shared" ref="V39" si="175">+U39</f>
        <v>0</v>
      </c>
      <c r="W39" s="238">
        <f t="shared" ref="W39" si="176">+V39</f>
        <v>0</v>
      </c>
      <c r="X39" s="238">
        <f t="shared" ref="X39" si="177">+W39</f>
        <v>0</v>
      </c>
      <c r="Y39" s="238">
        <f t="shared" ref="Y39" si="178">+X39</f>
        <v>0</v>
      </c>
      <c r="Z39" s="238">
        <f t="shared" ref="Z39" si="179">+Y39</f>
        <v>0</v>
      </c>
      <c r="AA39" s="238">
        <f t="shared" ref="AA39" si="180">+Z39</f>
        <v>0</v>
      </c>
      <c r="AB39" s="238">
        <f t="shared" ref="AB39:AC39" si="181">+AA39</f>
        <v>0</v>
      </c>
      <c r="AC39" s="238">
        <f t="shared" si="181"/>
        <v>0</v>
      </c>
    </row>
    <row r="40" spans="1:29">
      <c r="A40" s="228"/>
      <c r="B40" s="228"/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</row>
    <row r="41" spans="1:29">
      <c r="A41" s="228"/>
      <c r="B41" s="240" t="s">
        <v>502</v>
      </c>
      <c r="C41" s="241">
        <v>0</v>
      </c>
      <c r="D41" s="242">
        <f t="shared" ref="D41:L41" si="182">+D29+D32+D35+D38</f>
        <v>439003.59271722892</v>
      </c>
      <c r="E41" s="242">
        <f t="shared" si="182"/>
        <v>466030.8406932847</v>
      </c>
      <c r="F41" s="242">
        <f t="shared" si="182"/>
        <v>494736.57846677763</v>
      </c>
      <c r="G41" s="242">
        <f t="shared" si="182"/>
        <v>523790.99518237065</v>
      </c>
      <c r="H41" s="242">
        <f t="shared" si="182"/>
        <v>557611.09645272128</v>
      </c>
      <c r="I41" s="242">
        <f t="shared" si="182"/>
        <v>592010.73627848376</v>
      </c>
      <c r="J41" s="242">
        <f t="shared" si="182"/>
        <v>628551.47622819932</v>
      </c>
      <c r="K41" s="242">
        <f t="shared" si="182"/>
        <v>665544.44806240825</v>
      </c>
      <c r="L41" s="243">
        <f t="shared" si="182"/>
        <v>708602.96311704791</v>
      </c>
      <c r="M41" s="243">
        <f t="shared" ref="M41:AB41" si="183">+M29+M32+M35+M38</f>
        <v>750353.20892557094</v>
      </c>
      <c r="N41" s="243">
        <f t="shared" si="183"/>
        <v>794593.78550938051</v>
      </c>
      <c r="O41" s="243">
        <f t="shared" si="183"/>
        <v>841475.1235445746</v>
      </c>
      <c r="P41" s="243">
        <f t="shared" si="183"/>
        <v>891156.86594553106</v>
      </c>
      <c r="Q41" s="243">
        <f t="shared" si="183"/>
        <v>943808.43581665307</v>
      </c>
      <c r="R41" s="243">
        <f t="shared" si="183"/>
        <v>999609.60269961716</v>
      </c>
      <c r="S41" s="243">
        <f t="shared" si="183"/>
        <v>1058751.220002895</v>
      </c>
      <c r="T41" s="243">
        <f t="shared" si="183"/>
        <v>1121435.8067773038</v>
      </c>
      <c r="U41" s="243">
        <f t="shared" si="183"/>
        <v>1187878.3488625456</v>
      </c>
      <c r="V41" s="243">
        <f t="shared" si="183"/>
        <v>1258307.0303996059</v>
      </c>
      <c r="W41" s="243">
        <f t="shared" si="183"/>
        <v>1332964.0896376306</v>
      </c>
      <c r="X41" s="243">
        <f t="shared" si="183"/>
        <v>1412106.6617424777</v>
      </c>
      <c r="Y41" s="243">
        <f t="shared" si="183"/>
        <v>1496007.7244352689</v>
      </c>
      <c r="Z41" s="243">
        <f t="shared" si="183"/>
        <v>1584957.1207698134</v>
      </c>
      <c r="AA41" s="243">
        <f t="shared" si="183"/>
        <v>1679262.5264056406</v>
      </c>
      <c r="AB41" s="243">
        <f t="shared" si="183"/>
        <v>1779250.6494826498</v>
      </c>
      <c r="AC41" s="243">
        <f t="shared" ref="AC41" si="184">+AC29+AC32+AC35+AC38</f>
        <v>0</v>
      </c>
    </row>
    <row r="42" spans="1:29">
      <c r="A42" s="228"/>
      <c r="B42" s="236" t="s">
        <v>500</v>
      </c>
      <c r="C42" s="244"/>
      <c r="D42" s="245">
        <f t="shared" ref="D42:L42" si="185">+D41-C41</f>
        <v>439003.59271722892</v>
      </c>
      <c r="E42" s="245">
        <f t="shared" si="185"/>
        <v>27027.247976055776</v>
      </c>
      <c r="F42" s="245">
        <f t="shared" si="185"/>
        <v>28705.737773492932</v>
      </c>
      <c r="G42" s="245">
        <f t="shared" si="185"/>
        <v>29054.416715593019</v>
      </c>
      <c r="H42" s="245">
        <f t="shared" si="185"/>
        <v>33820.101270350628</v>
      </c>
      <c r="I42" s="245">
        <f t="shared" si="185"/>
        <v>34399.639825762482</v>
      </c>
      <c r="J42" s="245">
        <f t="shared" si="185"/>
        <v>36540.739949715557</v>
      </c>
      <c r="K42" s="245">
        <f t="shared" si="185"/>
        <v>36992.971834208933</v>
      </c>
      <c r="L42" s="246">
        <f t="shared" si="185"/>
        <v>43058.515054639662</v>
      </c>
      <c r="M42" s="246">
        <f t="shared" ref="M42" si="186">+M41-L41</f>
        <v>41750.245808523032</v>
      </c>
      <c r="N42" s="246">
        <f t="shared" ref="N42" si="187">+N41-M41</f>
        <v>44240.576583809569</v>
      </c>
      <c r="O42" s="246">
        <f t="shared" ref="O42" si="188">+O41-N41</f>
        <v>46881.338035194087</v>
      </c>
      <c r="P42" s="246">
        <f t="shared" ref="P42" si="189">+P41-O41</f>
        <v>49681.742400956457</v>
      </c>
      <c r="Q42" s="246">
        <f t="shared" ref="Q42" si="190">+Q41-P41</f>
        <v>52651.569871122018</v>
      </c>
      <c r="R42" s="246">
        <f t="shared" ref="R42" si="191">+R41-Q41</f>
        <v>55801.166882964084</v>
      </c>
      <c r="S42" s="246">
        <f t="shared" ref="S42" si="192">+S41-R41</f>
        <v>59141.617303277832</v>
      </c>
      <c r="T42" s="246">
        <f t="shared" ref="T42" si="193">+T41-S41</f>
        <v>62684.586774408817</v>
      </c>
      <c r="U42" s="246">
        <f t="shared" ref="U42" si="194">+U41-T41</f>
        <v>66442.542085241759</v>
      </c>
      <c r="V42" s="246">
        <f t="shared" ref="V42" si="195">+V41-U41</f>
        <v>70428.6815370603</v>
      </c>
      <c r="W42" s="246">
        <f t="shared" ref="W42" si="196">+W41-V41</f>
        <v>74657.059238024754</v>
      </c>
      <c r="X42" s="246">
        <f t="shared" ref="X42" si="197">+X41-W41</f>
        <v>79142.572104847059</v>
      </c>
      <c r="Y42" s="246">
        <f t="shared" ref="Y42" si="198">+Y41-X41</f>
        <v>83901.062692791224</v>
      </c>
      <c r="Z42" s="246">
        <f t="shared" ref="Z42" si="199">+Z41-Y41</f>
        <v>88949.396334544523</v>
      </c>
      <c r="AA42" s="246">
        <f t="shared" ref="AA42" si="200">+AA41-Z41</f>
        <v>94305.405635827221</v>
      </c>
      <c r="AB42" s="246">
        <f t="shared" ref="AB42" si="201">+AB41-AA41</f>
        <v>99988.123077009106</v>
      </c>
      <c r="AC42" s="246">
        <f>+AC41-AB41</f>
        <v>-1779250.6494826498</v>
      </c>
    </row>
    <row r="43" spans="1:29">
      <c r="A43" s="228"/>
      <c r="B43" s="247"/>
      <c r="C43" s="247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</row>
    <row r="44" spans="1:29">
      <c r="A44" s="228" t="s">
        <v>503</v>
      </c>
      <c r="B44" s="235"/>
      <c r="C44" s="235"/>
      <c r="D44" s="235"/>
      <c r="E44" s="235"/>
      <c r="F44" s="235"/>
      <c r="G44" s="235"/>
      <c r="H44" s="235"/>
      <c r="I44" s="235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</row>
    <row r="45" spans="1:29">
      <c r="A45" s="228"/>
      <c r="B45" s="240" t="s">
        <v>504</v>
      </c>
      <c r="C45" s="241">
        <v>0</v>
      </c>
      <c r="D45" s="242">
        <f>D41-D26</f>
        <v>-1769646.5207974412</v>
      </c>
      <c r="E45" s="242">
        <f t="shared" ref="E45:L45" si="202">E41-E26</f>
        <v>-1703337.4730672981</v>
      </c>
      <c r="F45" s="242">
        <f t="shared" si="202"/>
        <v>-1841008.7299590521</v>
      </c>
      <c r="G45" s="242">
        <f t="shared" si="202"/>
        <v>-1984256.866032368</v>
      </c>
      <c r="H45" s="242">
        <f t="shared" si="202"/>
        <v>-2150264.4658757453</v>
      </c>
      <c r="I45" s="242">
        <f t="shared" si="202"/>
        <v>-2323666.9616287393</v>
      </c>
      <c r="J45" s="242">
        <f t="shared" si="202"/>
        <v>-2510918.7082703705</v>
      </c>
      <c r="K45" s="242">
        <f t="shared" si="202"/>
        <v>-2705705.2385938819</v>
      </c>
      <c r="L45" s="243">
        <f t="shared" si="202"/>
        <v>-2931450.3038568096</v>
      </c>
      <c r="M45" s="243">
        <f t="shared" ref="M45:AB45" si="203">M41-M26</f>
        <v>-3158540.8277214551</v>
      </c>
      <c r="N45" s="243">
        <f t="shared" si="203"/>
        <v>-3477960.7095267512</v>
      </c>
      <c r="O45" s="243">
        <f t="shared" si="203"/>
        <v>-3666410.1134625487</v>
      </c>
      <c r="P45" s="243">
        <f t="shared" si="203"/>
        <v>-3949958.9370600414</v>
      </c>
      <c r="Q45" s="243">
        <f t="shared" si="203"/>
        <v>-4255274.8523415858</v>
      </c>
      <c r="R45" s="243">
        <f t="shared" si="203"/>
        <v>-4584018.8694345318</v>
      </c>
      <c r="S45" s="243">
        <f t="shared" si="203"/>
        <v>-4937982.4700060859</v>
      </c>
      <c r="T45" s="243">
        <f t="shared" si="203"/>
        <v>-5319090.201622379</v>
      </c>
      <c r="U45" s="243">
        <f t="shared" si="203"/>
        <v>-5729414.8995638965</v>
      </c>
      <c r="V45" s="243">
        <f t="shared" si="203"/>
        <v>-6171186.1418885738</v>
      </c>
      <c r="W45" s="243">
        <f t="shared" si="203"/>
        <v>-6646804.3929082314</v>
      </c>
      <c r="X45" s="243">
        <f t="shared" si="203"/>
        <v>-7158851.4971965076</v>
      </c>
      <c r="Y45" s="243">
        <f t="shared" si="203"/>
        <v>-7710105.9643057482</v>
      </c>
      <c r="Z45" s="243">
        <f t="shared" si="203"/>
        <v>-8303559.7752955835</v>
      </c>
      <c r="AA45" s="243">
        <f t="shared" si="203"/>
        <v>-8942429.3261566926</v>
      </c>
      <c r="AB45" s="243">
        <f t="shared" si="203"/>
        <v>-9630177.2286549509</v>
      </c>
      <c r="AC45" s="243">
        <f t="shared" ref="AC45" si="204">AC41-AC26</f>
        <v>0</v>
      </c>
    </row>
    <row r="46" spans="1:29">
      <c r="A46" s="228"/>
      <c r="B46" s="248" t="s">
        <v>505</v>
      </c>
      <c r="C46" s="249"/>
      <c r="D46" s="250">
        <f t="shared" ref="D46:L46" si="205">+D45-C45</f>
        <v>-1769646.5207974412</v>
      </c>
      <c r="E46" s="250">
        <f>+E45-D45</f>
        <v>66309.047730143182</v>
      </c>
      <c r="F46" s="250">
        <f t="shared" si="205"/>
        <v>-137671.25689175399</v>
      </c>
      <c r="G46" s="250">
        <f t="shared" si="205"/>
        <v>-143248.13607331598</v>
      </c>
      <c r="H46" s="250">
        <f t="shared" si="205"/>
        <v>-166007.59984337725</v>
      </c>
      <c r="I46" s="250">
        <f>+I45-H45</f>
        <v>-173402.49575299397</v>
      </c>
      <c r="J46" s="250">
        <f t="shared" si="205"/>
        <v>-187251.74664163124</v>
      </c>
      <c r="K46" s="250">
        <f t="shared" si="205"/>
        <v>-194786.53032351146</v>
      </c>
      <c r="L46" s="251">
        <f t="shared" si="205"/>
        <v>-225745.06526292767</v>
      </c>
      <c r="M46" s="251">
        <f t="shared" ref="M46" si="206">+M45-L45</f>
        <v>-227090.52386464551</v>
      </c>
      <c r="N46" s="251">
        <f t="shared" ref="N46" si="207">+N45-M45</f>
        <v>-319419.88180529606</v>
      </c>
      <c r="O46" s="251">
        <f t="shared" ref="O46" si="208">+O45-N45</f>
        <v>-188449.40393579751</v>
      </c>
      <c r="P46" s="251">
        <f t="shared" ref="P46" si="209">+P45-O45</f>
        <v>-283548.82359749265</v>
      </c>
      <c r="Q46" s="251">
        <f t="shared" ref="Q46" si="210">+Q45-P45</f>
        <v>-305315.91528154444</v>
      </c>
      <c r="R46" s="251">
        <f t="shared" ref="R46" si="211">+R45-Q45</f>
        <v>-328744.01709294599</v>
      </c>
      <c r="S46" s="251">
        <f t="shared" ref="S46" si="212">+S45-R45</f>
        <v>-353963.60057155415</v>
      </c>
      <c r="T46" s="251">
        <f t="shared" ref="T46" si="213">+T45-S45</f>
        <v>-381107.73161629308</v>
      </c>
      <c r="U46" s="251">
        <f t="shared" ref="U46" si="214">+U45-T45</f>
        <v>-410324.69794151746</v>
      </c>
      <c r="V46" s="251">
        <f t="shared" ref="V46" si="215">+V45-U45</f>
        <v>-441771.2423246773</v>
      </c>
      <c r="W46" s="251">
        <f t="shared" ref="W46" si="216">+W45-V45</f>
        <v>-475618.25101965759</v>
      </c>
      <c r="X46" s="251">
        <f t="shared" ref="X46" si="217">+X45-W45</f>
        <v>-512047.10428827628</v>
      </c>
      <c r="Y46" s="251">
        <f t="shared" ref="Y46" si="218">+Y45-X45</f>
        <v>-551254.46710924059</v>
      </c>
      <c r="Z46" s="251">
        <f t="shared" ref="Z46" si="219">+Z45-Y45</f>
        <v>-593453.8109898353</v>
      </c>
      <c r="AA46" s="251">
        <f t="shared" ref="AA46" si="220">+AA45-Z45</f>
        <v>-638869.55086110905</v>
      </c>
      <c r="AB46" s="251">
        <f t="shared" ref="AB46:AC46" si="221">+AB45-AA45</f>
        <v>-687747.90249825828</v>
      </c>
      <c r="AC46" s="251">
        <f t="shared" si="221"/>
        <v>9630177.2286549509</v>
      </c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12"/>
  <sheetViews>
    <sheetView workbookViewId="0">
      <selection activeCell="B6" sqref="B6"/>
    </sheetView>
  </sheetViews>
  <sheetFormatPr baseColWidth="10" defaultColWidth="8.83203125" defaultRowHeight="15"/>
  <cols>
    <col min="1" max="1" width="34.33203125" bestFit="1" customWidth="1"/>
    <col min="2" max="2" width="15" bestFit="1" customWidth="1"/>
    <col min="3" max="7" width="12.6640625" bestFit="1" customWidth="1"/>
    <col min="8" max="9" width="11.83203125" bestFit="1" customWidth="1"/>
    <col min="10" max="10" width="13" customWidth="1"/>
    <col min="11" max="11" width="11.83203125" bestFit="1" customWidth="1"/>
    <col min="12" max="12" width="12.5" customWidth="1"/>
    <col min="13" max="13" width="11.83203125" bestFit="1" customWidth="1"/>
    <col min="14" max="21" width="12.1640625" bestFit="1" customWidth="1"/>
    <col min="22" max="27" width="13.1640625" bestFit="1" customWidth="1"/>
  </cols>
  <sheetData>
    <row r="1" spans="1:28">
      <c r="A1" s="516" t="s">
        <v>474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</row>
    <row r="2" spans="1:28">
      <c r="A2" s="115"/>
      <c r="B2" s="116" t="s">
        <v>189</v>
      </c>
      <c r="C2" s="116" t="s">
        <v>190</v>
      </c>
      <c r="D2" s="116" t="s">
        <v>191</v>
      </c>
      <c r="E2" s="116" t="s">
        <v>192</v>
      </c>
      <c r="F2" s="116" t="s">
        <v>193</v>
      </c>
      <c r="G2" s="116" t="s">
        <v>194</v>
      </c>
      <c r="H2" s="116" t="s">
        <v>195</v>
      </c>
      <c r="I2" s="116" t="s">
        <v>196</v>
      </c>
      <c r="J2" s="116" t="s">
        <v>197</v>
      </c>
      <c r="K2" s="116" t="s">
        <v>198</v>
      </c>
      <c r="L2" s="116" t="s">
        <v>199</v>
      </c>
      <c r="M2" s="116" t="s">
        <v>210</v>
      </c>
      <c r="N2" s="116" t="s">
        <v>211</v>
      </c>
      <c r="O2" s="116" t="s">
        <v>212</v>
      </c>
      <c r="P2" s="116" t="s">
        <v>213</v>
      </c>
      <c r="Q2" s="116" t="s">
        <v>214</v>
      </c>
      <c r="R2" s="116" t="s">
        <v>215</v>
      </c>
      <c r="S2" s="116" t="s">
        <v>216</v>
      </c>
      <c r="T2" s="116" t="s">
        <v>217</v>
      </c>
      <c r="U2" s="116" t="s">
        <v>218</v>
      </c>
      <c r="V2" s="116" t="s">
        <v>219</v>
      </c>
      <c r="W2" s="116" t="s">
        <v>220</v>
      </c>
      <c r="X2" s="116" t="s">
        <v>221</v>
      </c>
      <c r="Y2" s="116" t="s">
        <v>222</v>
      </c>
      <c r="Z2" s="116" t="s">
        <v>223</v>
      </c>
      <c r="AA2" s="116" t="s">
        <v>224</v>
      </c>
    </row>
    <row r="3" spans="1:28">
      <c r="A3" s="117" t="s">
        <v>208</v>
      </c>
      <c r="B3" s="190">
        <f>DRE!C21</f>
        <v>0</v>
      </c>
      <c r="C3" s="190">
        <f>DRE!D21</f>
        <v>2613002.2606079234</v>
      </c>
      <c r="D3" s="190">
        <f>DRE!E21</f>
        <v>2105845.9652403514</v>
      </c>
      <c r="E3" s="190">
        <f>DRE!F21</f>
        <v>2446622.0203564605</v>
      </c>
      <c r="F3" s="190">
        <f>DRE!G21</f>
        <v>2818898.6300808196</v>
      </c>
      <c r="G3" s="190">
        <f>DRE!H21</f>
        <v>3225419.5503912596</v>
      </c>
      <c r="H3" s="190">
        <f>DRE!I21</f>
        <v>3669166.9302830445</v>
      </c>
      <c r="I3" s="190">
        <f>DRE!J21</f>
        <v>4153369.9026791928</v>
      </c>
      <c r="J3" s="190">
        <f>DRE!K21</f>
        <v>4681528.8568984149</v>
      </c>
      <c r="K3" s="190">
        <f>DRE!L21</f>
        <v>5257437.4625740666</v>
      </c>
      <c r="L3" s="190">
        <f>DRE!M21</f>
        <v>5885209.1757548451</v>
      </c>
      <c r="M3" s="190">
        <f>DRE!N21</f>
        <v>7647893.7433084883</v>
      </c>
      <c r="N3" s="190">
        <f>DRE!O21</f>
        <v>8074937.0169610176</v>
      </c>
      <c r="O3" s="190">
        <f>DRE!P21</f>
        <v>8886548.826697953</v>
      </c>
      <c r="P3" s="190">
        <f>DRE!Q21</f>
        <v>9770204.6859746203</v>
      </c>
      <c r="Q3" s="190">
        <f>DRE!R21</f>
        <v>10732033.362492304</v>
      </c>
      <c r="R3" s="190">
        <f>DRE!S21</f>
        <v>11778688.796521975</v>
      </c>
      <c r="S3" s="190">
        <f>DRE!T21</f>
        <v>12917362.58515219</v>
      </c>
      <c r="T3" s="190">
        <f>DRE!U21</f>
        <v>14155849.018705163</v>
      </c>
      <c r="U3" s="190">
        <f>DRE!V21</f>
        <v>15502582.472744767</v>
      </c>
      <c r="V3" s="190">
        <f>DRE!W21</f>
        <v>16966698.8224345</v>
      </c>
      <c r="W3" s="190">
        <f>DRE!X21</f>
        <v>18733663.115841769</v>
      </c>
      <c r="X3" s="190">
        <f>DRE!Y21</f>
        <v>20463012.264354728</v>
      </c>
      <c r="Y3" s="190">
        <f>DRE!Z21</f>
        <v>22341915.71254652</v>
      </c>
      <c r="Z3" s="190">
        <f>DRE!AA21</f>
        <v>24382900.909563936</v>
      </c>
      <c r="AA3" s="190">
        <f>DRE!AB21</f>
        <v>26599530.504852876</v>
      </c>
    </row>
    <row r="4" spans="1:28">
      <c r="A4" s="124" t="s">
        <v>447</v>
      </c>
      <c r="B4" s="120">
        <f>-DRE!C14</f>
        <v>0</v>
      </c>
      <c r="C4" s="120">
        <f>-DRE!D14</f>
        <v>1808255.9074826213</v>
      </c>
      <c r="D4" s="120">
        <f>-DRE!E14</f>
        <v>1808255.9074826213</v>
      </c>
      <c r="E4" s="120">
        <f>-DRE!F14</f>
        <v>1808255.9074826213</v>
      </c>
      <c r="F4" s="120">
        <f>-DRE!G14</f>
        <v>1808255.9074826213</v>
      </c>
      <c r="G4" s="120">
        <f>-DRE!H14</f>
        <v>1808255.9074826213</v>
      </c>
      <c r="H4" s="120">
        <f>-DRE!I14</f>
        <v>1808255.9074826213</v>
      </c>
      <c r="I4" s="120">
        <f>-DRE!J14</f>
        <v>1808255.9074826213</v>
      </c>
      <c r="J4" s="120">
        <f>-DRE!K14</f>
        <v>1808255.9074826213</v>
      </c>
      <c r="K4" s="120">
        <f>-DRE!L14</f>
        <v>1808255.9074826213</v>
      </c>
      <c r="L4" s="120">
        <f>-DRE!M14</f>
        <v>1808255.9074826213</v>
      </c>
      <c r="M4" s="120">
        <f>-DRE!N14</f>
        <v>656130.26944335655</v>
      </c>
      <c r="N4" s="120">
        <f>-DRE!O14</f>
        <v>656130.26944335655</v>
      </c>
      <c r="O4" s="120">
        <f>-DRE!P14</f>
        <v>656130.26944335655</v>
      </c>
      <c r="P4" s="120">
        <f>-DRE!Q14</f>
        <v>656130.26944335655</v>
      </c>
      <c r="Q4" s="120">
        <f>-DRE!R14</f>
        <v>656130.26944335655</v>
      </c>
      <c r="R4" s="120">
        <f>-DRE!S14</f>
        <v>656130.26944335655</v>
      </c>
      <c r="S4" s="120">
        <f>-DRE!T14</f>
        <v>656130.26944335655</v>
      </c>
      <c r="T4" s="120">
        <f>-DRE!U14</f>
        <v>656130.26944335655</v>
      </c>
      <c r="U4" s="120">
        <f>-DRE!V14</f>
        <v>656130.26944335655</v>
      </c>
      <c r="V4" s="120">
        <f>-DRE!W14</f>
        <v>656130.26944335655</v>
      </c>
      <c r="W4" s="120">
        <f>-DRE!X14</f>
        <v>390098.28708979971</v>
      </c>
      <c r="X4" s="120">
        <f>-DRE!Y14</f>
        <v>390098.28708979971</v>
      </c>
      <c r="Y4" s="120">
        <f>-DRE!Z14</f>
        <v>390098.28708979971</v>
      </c>
      <c r="Z4" s="120">
        <f>-DRE!AA14</f>
        <v>390098.28708979971</v>
      </c>
      <c r="AA4" s="120">
        <f>-DRE!AB14</f>
        <v>390098.28708979971</v>
      </c>
    </row>
    <row r="5" spans="1:28">
      <c r="A5" s="124" t="s">
        <v>434</v>
      </c>
      <c r="B5" s="120">
        <f>-'Fin. BNB'!E4-B6</f>
        <v>-23351303.208065521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>
        <f>-Reinvestimento!I44-'Encerramento e Monitoramento'!I8</f>
        <v>-4846545.3667161362</v>
      </c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>
        <f>-'Encerramento e Monitoramento'!J8</f>
        <v>-707451.30731003138</v>
      </c>
    </row>
    <row r="6" spans="1:28">
      <c r="A6" s="124" t="s">
        <v>435</v>
      </c>
      <c r="B6" s="120">
        <f>IF('Fin. BNB'!C4=100%,'Capital de Giro'!D46,0)</f>
        <v>-1769646.5207974412</v>
      </c>
      <c r="C6" s="120">
        <f>'Capital de Giro'!E46</f>
        <v>66309.047730143182</v>
      </c>
      <c r="D6" s="120">
        <f>'Capital de Giro'!F46</f>
        <v>-137671.25689175399</v>
      </c>
      <c r="E6" s="120">
        <f>'Capital de Giro'!G46</f>
        <v>-143248.13607331598</v>
      </c>
      <c r="F6" s="120">
        <f>'Capital de Giro'!H46</f>
        <v>-166007.59984337725</v>
      </c>
      <c r="G6" s="120">
        <f>'Capital de Giro'!I46</f>
        <v>-173402.49575299397</v>
      </c>
      <c r="H6" s="120">
        <f>'Capital de Giro'!J46</f>
        <v>-187251.74664163124</v>
      </c>
      <c r="I6" s="120">
        <f>'Capital de Giro'!K46</f>
        <v>-194786.53032351146</v>
      </c>
      <c r="J6" s="120">
        <f>'Capital de Giro'!L46</f>
        <v>-225745.06526292767</v>
      </c>
      <c r="K6" s="120">
        <f>'Capital de Giro'!M46</f>
        <v>-227090.52386464551</v>
      </c>
      <c r="L6" s="120">
        <f>'Capital de Giro'!N46</f>
        <v>-319419.88180529606</v>
      </c>
      <c r="M6" s="120">
        <f>'Capital de Giro'!O46</f>
        <v>-188449.40393579751</v>
      </c>
      <c r="N6" s="120">
        <f>'Capital de Giro'!P46</f>
        <v>-283548.82359749265</v>
      </c>
      <c r="O6" s="120">
        <f>'Capital de Giro'!Q46</f>
        <v>-305315.91528154444</v>
      </c>
      <c r="P6" s="120">
        <f>'Capital de Giro'!R46</f>
        <v>-328744.01709294599</v>
      </c>
      <c r="Q6" s="120">
        <f>'Capital de Giro'!S46</f>
        <v>-353963.60057155415</v>
      </c>
      <c r="R6" s="120">
        <f>'Capital de Giro'!T46</f>
        <v>-381107.73161629308</v>
      </c>
      <c r="S6" s="120">
        <f>'Capital de Giro'!U46</f>
        <v>-410324.69794151746</v>
      </c>
      <c r="T6" s="120">
        <f>'Capital de Giro'!V46</f>
        <v>-441771.2423246773</v>
      </c>
      <c r="U6" s="120">
        <f>'Capital de Giro'!W46</f>
        <v>-475618.25101965759</v>
      </c>
      <c r="V6" s="120">
        <f>'Capital de Giro'!X46</f>
        <v>-512047.10428827628</v>
      </c>
      <c r="W6" s="120">
        <f>'Capital de Giro'!Y46</f>
        <v>-551254.46710924059</v>
      </c>
      <c r="X6" s="120">
        <f>'Capital de Giro'!Z46</f>
        <v>-593453.8109898353</v>
      </c>
      <c r="Y6" s="120">
        <f>'Capital de Giro'!AA46</f>
        <v>-638869.55086110905</v>
      </c>
      <c r="Z6" s="120">
        <f>'Capital de Giro'!AB46</f>
        <v>-687747.90249825828</v>
      </c>
      <c r="AA6" s="120">
        <f>'Capital de Giro'!AC46</f>
        <v>9630177.2286549509</v>
      </c>
    </row>
    <row r="7" spans="1:28">
      <c r="A7" s="124" t="s">
        <v>449</v>
      </c>
      <c r="B7" s="120">
        <f>IF(DRE!C19&lt;0,DRE!C18*-1,DRE!C18*(1-DRE!$B$20)*-1)</f>
        <v>0</v>
      </c>
      <c r="C7" s="120">
        <f>IF(DRE!D19&lt;0,DRE!D18*-1,DRE!D18*(1-DRE!$B$20)*-1)</f>
        <v>0</v>
      </c>
      <c r="D7" s="120">
        <f>IF(DRE!E19&lt;0,DRE!E18*-1,DRE!E18*(1-DRE!$B$20)*-1)</f>
        <v>0</v>
      </c>
      <c r="E7" s="120">
        <f>IF(DRE!F19&lt;0,DRE!F18*-1,DRE!F18*(1-DRE!$B$20)*-1)</f>
        <v>0</v>
      </c>
      <c r="F7" s="120">
        <f>IF(DRE!G19&lt;0,DRE!G18*-1,DRE!G18*(1-DRE!$B$20)*-1)</f>
        <v>0</v>
      </c>
      <c r="G7" s="120">
        <f>IF(DRE!H19&lt;0,DRE!H18*-1,DRE!H18*(1-DRE!$B$20)*-1)</f>
        <v>0</v>
      </c>
      <c r="H7" s="120">
        <f>IF(DRE!I19&lt;0,DRE!I18*-1,DRE!I18*(1-DRE!$B$20)*-1)</f>
        <v>0</v>
      </c>
      <c r="I7" s="120">
        <f>IF(DRE!J19&lt;0,DRE!J18*-1,DRE!J18*(1-DRE!$B$20)*-1)</f>
        <v>0</v>
      </c>
      <c r="J7" s="120">
        <f>IF(DRE!K19&lt;0,DRE!K18*-1,DRE!K18*(1-DRE!$B$20)*-1)</f>
        <v>0</v>
      </c>
      <c r="K7" s="120">
        <f>IF(DRE!L19&lt;0,DRE!L18*-1,DRE!L18*(1-DRE!$B$20)*-1)</f>
        <v>0</v>
      </c>
      <c r="L7" s="120">
        <f>IF(DRE!M19&lt;0,DRE!M18*-1,DRE!M18*(1-DRE!$B$20)*-1)</f>
        <v>0</v>
      </c>
      <c r="M7" s="120">
        <f>IF(DRE!N19&lt;0,DRE!N18*-1,DRE!N18*(1-DRE!$B$20)*-1)</f>
        <v>0</v>
      </c>
      <c r="N7" s="120">
        <f>IF(DRE!O19&lt;0,DRE!O18*-1,DRE!O18*(1-DRE!$B$20)*-1)</f>
        <v>0</v>
      </c>
      <c r="O7" s="120">
        <f>IF(DRE!P19&lt;0,DRE!P18*-1,DRE!P18*(1-DRE!$B$20)*-1)</f>
        <v>0</v>
      </c>
      <c r="P7" s="120">
        <f>IF(DRE!Q19&lt;0,DRE!Q18*-1,DRE!Q18*(1-DRE!$B$20)*-1)</f>
        <v>0</v>
      </c>
      <c r="Q7" s="120">
        <f>IF(DRE!R19&lt;0,DRE!R18*-1,DRE!R18*(1-DRE!$B$20)*-1)</f>
        <v>0</v>
      </c>
      <c r="R7" s="120">
        <f>IF(DRE!S19&lt;0,DRE!S18*-1,DRE!S18*(1-DRE!$B$20)*-1)</f>
        <v>0</v>
      </c>
      <c r="S7" s="120">
        <f>IF(DRE!T19&lt;0,DRE!T18*-1,DRE!T18*(1-DRE!$B$20)*-1)</f>
        <v>0</v>
      </c>
      <c r="T7" s="120">
        <f>IF(DRE!U19&lt;0,DRE!U18*-1,DRE!U18*(1-DRE!$B$20)*-1)</f>
        <v>0</v>
      </c>
      <c r="U7" s="120">
        <f>IF(DRE!V19&lt;0,DRE!V18*-1,DRE!V18*(1-DRE!$B$20)*-1)</f>
        <v>0</v>
      </c>
      <c r="V7" s="120">
        <f>IF(DRE!W19&lt;0,DRE!W18*-1,DRE!W18*(1-DRE!$B$20)*-1)</f>
        <v>0</v>
      </c>
      <c r="W7" s="120">
        <f>IF(DRE!X19&lt;0,DRE!X18*-1,DRE!X18*(1-DRE!$B$20)*-1)</f>
        <v>0</v>
      </c>
      <c r="X7" s="120">
        <f>IF(DRE!Y19&lt;0,DRE!Y18*-1,DRE!Y18*(1-DRE!$B$20)*-1)</f>
        <v>0</v>
      </c>
      <c r="Y7" s="120">
        <f>IF(DRE!Z19&lt;0,DRE!Z18*-1,DRE!Z18*(1-DRE!$B$20)*-1)</f>
        <v>0</v>
      </c>
      <c r="Z7" s="120">
        <f>IF(DRE!AA19&lt;0,DRE!AA18*-1,DRE!AA18*(1-DRE!$B$20)*-1)</f>
        <v>0</v>
      </c>
      <c r="AA7" s="120">
        <f>IF(DRE!AB19&lt;0,DRE!AB18*-1,DRE!AB18*(1-DRE!$B$20)*-1)</f>
        <v>0</v>
      </c>
    </row>
    <row r="8" spans="1:28">
      <c r="A8" s="117" t="s">
        <v>432</v>
      </c>
      <c r="B8" s="118">
        <f t="shared" ref="B8:AA8" si="0">B3+B4+B5+B6+B7</f>
        <v>-25120949.728862964</v>
      </c>
      <c r="C8" s="118">
        <f t="shared" si="0"/>
        <v>4487567.2158206878</v>
      </c>
      <c r="D8" s="118">
        <f t="shared" si="0"/>
        <v>3776430.6158312187</v>
      </c>
      <c r="E8" s="118">
        <f t="shared" si="0"/>
        <v>4111629.7917657658</v>
      </c>
      <c r="F8" s="118">
        <f t="shared" si="0"/>
        <v>4461146.9377200641</v>
      </c>
      <c r="G8" s="118">
        <f t="shared" si="0"/>
        <v>4860272.9621208869</v>
      </c>
      <c r="H8" s="118">
        <f t="shared" si="0"/>
        <v>5290171.0911240345</v>
      </c>
      <c r="I8" s="118">
        <f t="shared" si="0"/>
        <v>5766839.2798383031</v>
      </c>
      <c r="J8" s="118">
        <f t="shared" si="0"/>
        <v>6264039.6991181085</v>
      </c>
      <c r="K8" s="118">
        <f t="shared" si="0"/>
        <v>6838602.8461920423</v>
      </c>
      <c r="L8" s="118">
        <f t="shared" si="0"/>
        <v>7374045.2014321703</v>
      </c>
      <c r="M8" s="118">
        <f t="shared" si="0"/>
        <v>3269029.242099911</v>
      </c>
      <c r="N8" s="118">
        <f t="shared" si="0"/>
        <v>8447518.4628068823</v>
      </c>
      <c r="O8" s="118">
        <f t="shared" si="0"/>
        <v>9237363.1808597669</v>
      </c>
      <c r="P8" s="118">
        <f t="shared" si="0"/>
        <v>10097590.938325033</v>
      </c>
      <c r="Q8" s="118">
        <f t="shared" si="0"/>
        <v>11034200.031364108</v>
      </c>
      <c r="R8" s="118">
        <f t="shared" si="0"/>
        <v>12053711.33434904</v>
      </c>
      <c r="S8" s="118">
        <f t="shared" si="0"/>
        <v>13163168.15665403</v>
      </c>
      <c r="T8" s="118">
        <f t="shared" si="0"/>
        <v>14370208.045823842</v>
      </c>
      <c r="U8" s="118">
        <f t="shared" si="0"/>
        <v>15683094.491168465</v>
      </c>
      <c r="V8" s="118">
        <f t="shared" si="0"/>
        <v>17110781.987589579</v>
      </c>
      <c r="W8" s="118">
        <f t="shared" si="0"/>
        <v>18572506.935822327</v>
      </c>
      <c r="X8" s="118">
        <f t="shared" si="0"/>
        <v>20259656.740454692</v>
      </c>
      <c r="Y8" s="118">
        <f t="shared" si="0"/>
        <v>22093144.448775209</v>
      </c>
      <c r="Z8" s="118">
        <f t="shared" si="0"/>
        <v>24085251.294155478</v>
      </c>
      <c r="AA8" s="190">
        <f t="shared" si="0"/>
        <v>35912354.713287592</v>
      </c>
      <c r="AB8" s="191"/>
    </row>
    <row r="9" spans="1:28">
      <c r="A9" s="124" t="s">
        <v>449</v>
      </c>
      <c r="B9" s="120">
        <f>IF(DRE!C19&lt;0,DRE!C18,DRE!C18*(1-DRE!$B$20))</f>
        <v>0</v>
      </c>
      <c r="C9" s="120">
        <f>IF(DRE!D19&lt;0,DRE!D18,DRE!D18*(1-DRE!$B$20))</f>
        <v>0</v>
      </c>
      <c r="D9" s="120">
        <f>IF(DRE!E19&lt;0,DRE!E18,DRE!E18*(1-DRE!$B$20))</f>
        <v>0</v>
      </c>
      <c r="E9" s="120">
        <f>IF(DRE!F19&lt;0,DRE!F18,DRE!F18*(1-DRE!$B$20))</f>
        <v>0</v>
      </c>
      <c r="F9" s="120">
        <f>IF(DRE!G19&lt;0,DRE!G18,DRE!G18*(1-DRE!$B$20))</f>
        <v>0</v>
      </c>
      <c r="G9" s="120">
        <f>IF(DRE!H19&lt;0,DRE!H18,DRE!H18*(1-DRE!$B$20))</f>
        <v>0</v>
      </c>
      <c r="H9" s="120">
        <f>IF(DRE!I19&lt;0,DRE!I18,DRE!I18*(1-DRE!$B$20))</f>
        <v>0</v>
      </c>
      <c r="I9" s="120">
        <f>IF(DRE!J19&lt;0,DRE!J18,DRE!J18*(1-DRE!$B$20))</f>
        <v>0</v>
      </c>
      <c r="J9" s="120">
        <f>IF(DRE!K19&lt;0,DRE!K18,DRE!K18*(1-DRE!$B$20))</f>
        <v>0</v>
      </c>
      <c r="K9" s="120">
        <f>IF(DRE!L19&lt;0,DRE!L18,DRE!L18*(1-DRE!$B$20))</f>
        <v>0</v>
      </c>
      <c r="L9" s="120">
        <f>IF(DRE!M19&lt;0,DRE!M18,DRE!M18*(1-DRE!$B$20))</f>
        <v>0</v>
      </c>
      <c r="M9" s="120">
        <f>IF(DRE!N19&lt;0,DRE!N18,DRE!N18*(1-DRE!$B$20))</f>
        <v>0</v>
      </c>
      <c r="N9" s="120">
        <f>IF(DRE!O19&lt;0,DRE!O18,DRE!O18*(1-DRE!$B$20))</f>
        <v>0</v>
      </c>
      <c r="O9" s="120">
        <f>IF(DRE!P19&lt;0,DRE!P18,DRE!P18*(1-DRE!$B$20))</f>
        <v>0</v>
      </c>
      <c r="P9" s="120">
        <f>IF(DRE!Q19&lt;0,DRE!Q18,DRE!Q18*(1-DRE!$B$20))</f>
        <v>0</v>
      </c>
      <c r="Q9" s="120">
        <f>IF(DRE!R19&lt;0,DRE!R18,DRE!R18*(1-DRE!$B$20))</f>
        <v>0</v>
      </c>
      <c r="R9" s="120">
        <f>IF(DRE!S19&lt;0,DRE!S18,DRE!S18*(1-DRE!$B$20))</f>
        <v>0</v>
      </c>
      <c r="S9" s="120">
        <f>IF(DRE!T19&lt;0,DRE!T18,DRE!T18*(1-DRE!$B$20))</f>
        <v>0</v>
      </c>
      <c r="T9" s="120">
        <f>IF(DRE!U19&lt;0,DRE!U18,DRE!U18*(1-DRE!$B$20))</f>
        <v>0</v>
      </c>
      <c r="U9" s="120">
        <f>IF(DRE!V19&lt;0,DRE!V18,DRE!V18*(1-DRE!$B$20))</f>
        <v>0</v>
      </c>
      <c r="V9" s="120">
        <f>IF(DRE!W19&lt;0,DRE!W18,DRE!W18*(1-DRE!$B$20))</f>
        <v>0</v>
      </c>
      <c r="W9" s="120">
        <f>IF(DRE!X19&lt;0,DRE!X18,DRE!X18*(1-DRE!$B$20))</f>
        <v>0</v>
      </c>
      <c r="X9" s="120">
        <f>IF(DRE!Y19&lt;0,DRE!Y18,DRE!Y18*(1-DRE!$B$20))</f>
        <v>0</v>
      </c>
      <c r="Y9" s="120">
        <f>IF(DRE!Z19&lt;0,DRE!Z18,DRE!Z18*(1-DRE!$B$20))</f>
        <v>0</v>
      </c>
      <c r="Z9" s="120">
        <f>IF(DRE!AA19&lt;0,DRE!AA18,DRE!AA18*(1-DRE!$B$20))</f>
        <v>0</v>
      </c>
      <c r="AA9" s="120">
        <f>IF(DRE!AB19&lt;0,DRE!AB18,DRE!AB18*(1-DRE!$B$20))</f>
        <v>0</v>
      </c>
    </row>
    <row r="10" spans="1:28">
      <c r="A10" s="124" t="s">
        <v>436</v>
      </c>
      <c r="B10" s="120"/>
      <c r="C10" s="120">
        <f>-'Fin. BNB'!C172</f>
        <v>0</v>
      </c>
      <c r="D10" s="120">
        <f>-'Fin. BNB'!D172</f>
        <v>0</v>
      </c>
      <c r="E10" s="120">
        <f>-'Fin. BNB'!E172</f>
        <v>0</v>
      </c>
      <c r="F10" s="120">
        <f>-'Fin. BNB'!F172</f>
        <v>0</v>
      </c>
      <c r="G10" s="120">
        <f>-'Fin. BNB'!G172</f>
        <v>0</v>
      </c>
      <c r="H10" s="120">
        <f>-'Fin. BNB'!H172</f>
        <v>0</v>
      </c>
      <c r="I10" s="120">
        <f>-'Fin. BNB'!I172</f>
        <v>0</v>
      </c>
      <c r="J10" s="120">
        <f>-'Fin. BNB'!J172</f>
        <v>0</v>
      </c>
      <c r="K10" s="120">
        <f>-'Fin. BNB'!K172</f>
        <v>0</v>
      </c>
      <c r="L10" s="120">
        <f>-'Fin. BNB'!L172</f>
        <v>0</v>
      </c>
      <c r="M10" s="120">
        <f>-'Fin. BNB'!M172</f>
        <v>0</v>
      </c>
      <c r="N10" s="120">
        <f>-'Fin. BNB'!N172</f>
        <v>0</v>
      </c>
      <c r="O10" s="120">
        <f>-'Fin. BNB'!O172</f>
        <v>0</v>
      </c>
      <c r="P10" s="120">
        <f>-'Fin. BNB'!P172</f>
        <v>0</v>
      </c>
      <c r="Q10" s="120">
        <f>-'Fin. BNB'!Q172</f>
        <v>0</v>
      </c>
      <c r="R10" s="120">
        <f>-'Fin. BNB'!R172</f>
        <v>0</v>
      </c>
      <c r="S10" s="120">
        <f>-'Fin. BNB'!S172</f>
        <v>0</v>
      </c>
      <c r="T10" s="120">
        <f>-'Fin. BNB'!T172</f>
        <v>0</v>
      </c>
      <c r="U10" s="120">
        <f>-'Fin. BNB'!U172</f>
        <v>0</v>
      </c>
      <c r="V10" s="120">
        <f>-'Fin. BNB'!V172</f>
        <v>0</v>
      </c>
      <c r="W10" s="120">
        <f>-'Fin. BNB'!W172</f>
        <v>0</v>
      </c>
      <c r="X10" s="120">
        <f>-'Fin. BNB'!X172</f>
        <v>0</v>
      </c>
      <c r="Y10" s="120">
        <f>-'Fin. BNB'!Y172</f>
        <v>0</v>
      </c>
      <c r="Z10" s="120">
        <f>-'Fin. BNB'!Z172</f>
        <v>0</v>
      </c>
      <c r="AA10" s="120">
        <f>-'Fin. BNB'!AA172</f>
        <v>0</v>
      </c>
    </row>
    <row r="11" spans="1:28">
      <c r="A11" s="117" t="s">
        <v>433</v>
      </c>
      <c r="B11" s="118">
        <f>B8+B9+B10</f>
        <v>-25120949.728862964</v>
      </c>
      <c r="C11" s="118">
        <f t="shared" ref="C11:AA11" si="1">C8+C9+C10</f>
        <v>4487567.2158206878</v>
      </c>
      <c r="D11" s="118">
        <f t="shared" si="1"/>
        <v>3776430.6158312187</v>
      </c>
      <c r="E11" s="118">
        <f t="shared" si="1"/>
        <v>4111629.7917657658</v>
      </c>
      <c r="F11" s="118">
        <f t="shared" si="1"/>
        <v>4461146.9377200641</v>
      </c>
      <c r="G11" s="118">
        <f t="shared" si="1"/>
        <v>4860272.9621208869</v>
      </c>
      <c r="H11" s="118">
        <f t="shared" si="1"/>
        <v>5290171.0911240345</v>
      </c>
      <c r="I11" s="118">
        <f t="shared" si="1"/>
        <v>5766839.2798383031</v>
      </c>
      <c r="J11" s="118">
        <f t="shared" si="1"/>
        <v>6264039.6991181085</v>
      </c>
      <c r="K11" s="118">
        <f t="shared" si="1"/>
        <v>6838602.8461920423</v>
      </c>
      <c r="L11" s="118">
        <f t="shared" si="1"/>
        <v>7374045.2014321703</v>
      </c>
      <c r="M11" s="118">
        <f t="shared" si="1"/>
        <v>3269029.242099911</v>
      </c>
      <c r="N11" s="118">
        <f t="shared" si="1"/>
        <v>8447518.4628068823</v>
      </c>
      <c r="O11" s="118">
        <f t="shared" si="1"/>
        <v>9237363.1808597669</v>
      </c>
      <c r="P11" s="118">
        <f t="shared" si="1"/>
        <v>10097590.938325033</v>
      </c>
      <c r="Q11" s="118">
        <f t="shared" si="1"/>
        <v>11034200.031364108</v>
      </c>
      <c r="R11" s="118">
        <f t="shared" si="1"/>
        <v>12053711.33434904</v>
      </c>
      <c r="S11" s="118">
        <f t="shared" si="1"/>
        <v>13163168.15665403</v>
      </c>
      <c r="T11" s="118">
        <f t="shared" si="1"/>
        <v>14370208.045823842</v>
      </c>
      <c r="U11" s="118">
        <f t="shared" si="1"/>
        <v>15683094.491168465</v>
      </c>
      <c r="V11" s="118">
        <f t="shared" si="1"/>
        <v>17110781.987589579</v>
      </c>
      <c r="W11" s="118">
        <f t="shared" si="1"/>
        <v>18572506.935822327</v>
      </c>
      <c r="X11" s="118">
        <f t="shared" si="1"/>
        <v>20259656.740454692</v>
      </c>
      <c r="Y11" s="118">
        <f t="shared" si="1"/>
        <v>22093144.448775209</v>
      </c>
      <c r="Z11" s="118">
        <f t="shared" si="1"/>
        <v>24085251.294155478</v>
      </c>
      <c r="AA11" s="118">
        <f t="shared" si="1"/>
        <v>35912354.713287592</v>
      </c>
    </row>
    <row r="12" spans="1:28">
      <c r="A12" s="117" t="s">
        <v>448</v>
      </c>
      <c r="B12" s="118">
        <f>B11</f>
        <v>-25120949.728862964</v>
      </c>
      <c r="C12" s="118">
        <f>C11+B12</f>
        <v>-20633382.513042275</v>
      </c>
      <c r="D12" s="118">
        <f>D11+C12</f>
        <v>-16856951.897211056</v>
      </c>
      <c r="E12" s="118">
        <f>E11+D12</f>
        <v>-12745322.10544529</v>
      </c>
      <c r="F12" s="118">
        <f t="shared" ref="F12:AA12" si="2">F11+E12</f>
        <v>-8284175.1677252259</v>
      </c>
      <c r="G12" s="118">
        <f t="shared" si="2"/>
        <v>-3423902.205604339</v>
      </c>
      <c r="H12" s="118">
        <f t="shared" si="2"/>
        <v>1866268.8855196955</v>
      </c>
      <c r="I12" s="118">
        <f t="shared" si="2"/>
        <v>7633108.1653579986</v>
      </c>
      <c r="J12" s="118">
        <f t="shared" si="2"/>
        <v>13897147.864476107</v>
      </c>
      <c r="K12" s="118">
        <f t="shared" si="2"/>
        <v>20735750.71066815</v>
      </c>
      <c r="L12" s="118">
        <f t="shared" si="2"/>
        <v>28109795.912100323</v>
      </c>
      <c r="M12" s="118">
        <f t="shared" si="2"/>
        <v>31378825.154200234</v>
      </c>
      <c r="N12" s="118">
        <f t="shared" si="2"/>
        <v>39826343.617007114</v>
      </c>
      <c r="O12" s="118">
        <f t="shared" si="2"/>
        <v>49063706.797866881</v>
      </c>
      <c r="P12" s="118">
        <f t="shared" si="2"/>
        <v>59161297.736191913</v>
      </c>
      <c r="Q12" s="118">
        <f t="shared" si="2"/>
        <v>70195497.767556027</v>
      </c>
      <c r="R12" s="118">
        <f t="shared" si="2"/>
        <v>82249209.101905063</v>
      </c>
      <c r="S12" s="118">
        <f t="shared" si="2"/>
        <v>95412377.258559093</v>
      </c>
      <c r="T12" s="118">
        <f t="shared" si="2"/>
        <v>109782585.30438294</v>
      </c>
      <c r="U12" s="118">
        <f t="shared" si="2"/>
        <v>125465679.7955514</v>
      </c>
      <c r="V12" s="118">
        <f t="shared" si="2"/>
        <v>142576461.78314099</v>
      </c>
      <c r="W12" s="118">
        <f t="shared" si="2"/>
        <v>161148968.71896333</v>
      </c>
      <c r="X12" s="118">
        <f t="shared" si="2"/>
        <v>181408625.45941803</v>
      </c>
      <c r="Y12" s="118">
        <f t="shared" si="2"/>
        <v>203501769.90819323</v>
      </c>
      <c r="Z12" s="118">
        <f t="shared" si="2"/>
        <v>227587021.20234871</v>
      </c>
      <c r="AA12" s="118">
        <f t="shared" si="2"/>
        <v>263499375.9156363</v>
      </c>
    </row>
  </sheetData>
  <mergeCells count="1">
    <mergeCell ref="A1:L1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37"/>
  <sheetViews>
    <sheetView workbookViewId="0">
      <selection activeCell="F1" sqref="F1"/>
    </sheetView>
  </sheetViews>
  <sheetFormatPr baseColWidth="10" defaultColWidth="8.83203125" defaultRowHeight="15"/>
  <sheetData>
    <row r="1" spans="1:23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</row>
    <row r="2" spans="1:23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</row>
    <row r="3" spans="1:23" ht="17">
      <c r="A3" s="255"/>
      <c r="B3" s="256"/>
      <c r="C3" s="256"/>
      <c r="D3" s="256"/>
      <c r="E3" s="256"/>
      <c r="F3" s="257" t="s">
        <v>506</v>
      </c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</row>
    <row r="4" spans="1:23">
      <c r="A4" s="255"/>
      <c r="B4" s="258"/>
      <c r="C4" s="258"/>
      <c r="D4" s="258"/>
      <c r="E4" s="258"/>
      <c r="F4" s="259" t="s">
        <v>507</v>
      </c>
      <c r="G4" s="255"/>
      <c r="H4" s="255"/>
      <c r="I4" s="255"/>
      <c r="J4" s="255"/>
      <c r="K4" s="255"/>
      <c r="L4" s="255" t="s">
        <v>508</v>
      </c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</row>
    <row r="5" spans="1:23">
      <c r="A5" s="255"/>
      <c r="B5" s="260" t="s">
        <v>509</v>
      </c>
      <c r="C5" s="261"/>
      <c r="D5" s="261"/>
      <c r="E5" s="261"/>
      <c r="F5" s="261"/>
      <c r="G5" s="255"/>
      <c r="H5" s="255"/>
      <c r="I5" s="255"/>
      <c r="J5" s="255"/>
      <c r="K5" s="255"/>
      <c r="L5" s="262" t="s">
        <v>510</v>
      </c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</row>
    <row r="6" spans="1:23" ht="17">
      <c r="A6" s="255"/>
      <c r="B6" s="263" t="s">
        <v>511</v>
      </c>
      <c r="C6" s="263"/>
      <c r="D6" s="263"/>
      <c r="E6" s="263"/>
      <c r="F6" s="264">
        <v>3.0700000000000002E-2</v>
      </c>
      <c r="G6" s="255"/>
      <c r="H6" s="255"/>
      <c r="I6" s="255"/>
      <c r="J6" s="255"/>
      <c r="K6" s="255"/>
      <c r="L6" s="262" t="s">
        <v>512</v>
      </c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</row>
    <row r="7" spans="1:23" ht="17">
      <c r="A7" s="255"/>
      <c r="B7" s="263" t="s">
        <v>513</v>
      </c>
      <c r="C7" s="263"/>
      <c r="D7" s="263"/>
      <c r="E7" s="263"/>
      <c r="F7" s="264">
        <v>7.0000000000000007E-2</v>
      </c>
      <c r="G7" s="255"/>
      <c r="H7" s="255"/>
      <c r="I7" s="255"/>
      <c r="J7" s="255"/>
      <c r="K7" s="255"/>
      <c r="L7" s="262" t="s">
        <v>514</v>
      </c>
      <c r="M7" s="255"/>
      <c r="N7" s="255"/>
      <c r="O7" s="255"/>
      <c r="P7" s="255"/>
      <c r="Q7" s="255"/>
      <c r="R7" s="255"/>
      <c r="S7" s="255"/>
      <c r="T7" s="255"/>
      <c r="U7" s="255"/>
      <c r="V7" s="255"/>
      <c r="W7" s="255"/>
    </row>
    <row r="8" spans="1:23" ht="17">
      <c r="A8" s="255"/>
      <c r="B8" s="263" t="s">
        <v>515</v>
      </c>
      <c r="C8" s="263"/>
      <c r="D8" s="263"/>
      <c r="E8" s="263"/>
      <c r="F8" s="264">
        <v>6.3600000000000004E-2</v>
      </c>
      <c r="G8" s="255"/>
      <c r="H8" s="255"/>
      <c r="I8" s="255"/>
      <c r="J8" s="255"/>
      <c r="K8" s="255"/>
      <c r="L8" s="255" t="s">
        <v>516</v>
      </c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</row>
    <row r="9" spans="1:23" ht="17">
      <c r="A9" s="255"/>
      <c r="B9" s="263" t="s">
        <v>517</v>
      </c>
      <c r="C9" s="263"/>
      <c r="D9" s="263"/>
      <c r="E9" s="263"/>
      <c r="F9" s="265">
        <v>0.7</v>
      </c>
      <c r="G9" s="255"/>
      <c r="H9" s="255"/>
      <c r="I9" s="255"/>
      <c r="J9" s="255"/>
      <c r="K9" s="255"/>
      <c r="L9" s="255" t="s">
        <v>518</v>
      </c>
      <c r="M9" s="255"/>
      <c r="N9" s="255"/>
      <c r="O9" s="255"/>
      <c r="P9" s="255"/>
      <c r="Q9" s="255"/>
      <c r="R9" s="255"/>
      <c r="S9" s="255"/>
      <c r="T9" s="255"/>
      <c r="U9" s="255"/>
      <c r="V9" s="255"/>
      <c r="W9" s="255"/>
    </row>
    <row r="10" spans="1:23">
      <c r="A10" s="255"/>
      <c r="B10" s="263" t="s">
        <v>519</v>
      </c>
      <c r="C10" s="263"/>
      <c r="D10" s="263"/>
      <c r="E10" s="263"/>
      <c r="F10" s="266">
        <v>0.34</v>
      </c>
      <c r="G10" s="255"/>
      <c r="H10" s="255"/>
      <c r="I10" s="255"/>
      <c r="J10" s="255"/>
      <c r="K10" s="255"/>
      <c r="L10" s="255" t="s">
        <v>520</v>
      </c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</row>
    <row r="11" spans="1:23">
      <c r="A11" s="267"/>
      <c r="B11" s="263" t="s">
        <v>765</v>
      </c>
      <c r="C11" s="263"/>
      <c r="D11" s="263"/>
      <c r="E11" s="263"/>
      <c r="F11" s="268">
        <v>0</v>
      </c>
      <c r="G11" s="269"/>
      <c r="H11" s="267"/>
      <c r="I11" s="267"/>
      <c r="J11" s="267"/>
      <c r="K11" s="267"/>
      <c r="L11" s="255" t="s">
        <v>521</v>
      </c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</row>
    <row r="12" spans="1:23">
      <c r="A12" s="255"/>
      <c r="B12" s="263" t="s">
        <v>522</v>
      </c>
      <c r="C12" s="263"/>
      <c r="D12" s="263"/>
      <c r="E12" s="263"/>
      <c r="F12" s="270">
        <f>F9*(1+(1-F10)*F11)</f>
        <v>0.7</v>
      </c>
      <c r="G12" s="255"/>
      <c r="H12" s="255"/>
      <c r="I12" s="255"/>
      <c r="J12" s="255"/>
      <c r="K12" s="255"/>
      <c r="L12" s="255" t="s">
        <v>523</v>
      </c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</row>
    <row r="13" spans="1:23">
      <c r="A13" s="255"/>
      <c r="B13" s="271" t="s">
        <v>524</v>
      </c>
      <c r="C13" s="271"/>
      <c r="D13" s="271"/>
      <c r="E13" s="271"/>
      <c r="F13" s="272">
        <f>F6+F12*F7+F8</f>
        <v>0.14330000000000001</v>
      </c>
      <c r="G13" s="273"/>
      <c r="H13" s="255"/>
      <c r="I13" s="255"/>
      <c r="J13" s="255"/>
      <c r="K13" s="255"/>
      <c r="L13" s="255" t="s">
        <v>525</v>
      </c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</row>
    <row r="14" spans="1:23" ht="16">
      <c r="A14" s="255"/>
      <c r="B14" s="274" t="s">
        <v>526</v>
      </c>
      <c r="C14" s="274"/>
      <c r="D14" s="274"/>
      <c r="E14" s="274"/>
      <c r="F14" s="275">
        <v>2.7E-2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</row>
    <row r="15" spans="1:23">
      <c r="A15" s="255"/>
      <c r="B15" s="271" t="s">
        <v>527</v>
      </c>
      <c r="C15" s="271"/>
      <c r="D15" s="271"/>
      <c r="E15" s="271"/>
      <c r="F15" s="272">
        <f t="shared" ref="F15" si="0">F13+F14</f>
        <v>0.17030000000000001</v>
      </c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</row>
    <row r="16" spans="1:23" ht="17">
      <c r="A16" s="255"/>
      <c r="B16" s="263" t="s">
        <v>528</v>
      </c>
      <c r="C16" s="263"/>
      <c r="D16" s="263"/>
      <c r="E16" s="263"/>
      <c r="F16" s="264">
        <v>2.4E-2</v>
      </c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</row>
    <row r="17" spans="1:23" ht="17">
      <c r="A17" s="255"/>
      <c r="B17" s="263" t="s">
        <v>529</v>
      </c>
      <c r="C17" s="263"/>
      <c r="D17" s="263"/>
      <c r="E17" s="263"/>
      <c r="F17" s="264">
        <v>4.4999999999999998E-2</v>
      </c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</row>
    <row r="18" spans="1:23">
      <c r="A18" s="255"/>
      <c r="B18" s="271" t="s">
        <v>530</v>
      </c>
      <c r="C18" s="276"/>
      <c r="D18" s="276"/>
      <c r="E18" s="276"/>
      <c r="F18" s="272">
        <f>(1+F15)/(1+F16)*(1+F17)-1</f>
        <v>0.19430029296875007</v>
      </c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</row>
    <row r="19" spans="1:23">
      <c r="A19" s="255"/>
      <c r="B19" s="255"/>
      <c r="C19" s="255"/>
      <c r="D19" s="255"/>
      <c r="E19" s="255"/>
      <c r="F19" s="277"/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V19" s="255"/>
      <c r="W19" s="255"/>
    </row>
    <row r="20" spans="1:23">
      <c r="A20" s="255"/>
      <c r="B20" s="278" t="s">
        <v>531</v>
      </c>
      <c r="C20" s="279"/>
      <c r="D20" s="279"/>
      <c r="E20" s="279"/>
      <c r="F20" s="279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</row>
    <row r="21" spans="1:23" ht="17">
      <c r="A21" s="255"/>
      <c r="B21" s="263" t="s">
        <v>532</v>
      </c>
      <c r="C21" s="263"/>
      <c r="D21" s="263"/>
      <c r="E21" s="263"/>
      <c r="F21" s="264">
        <v>0.2</v>
      </c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</row>
    <row r="22" spans="1:23" ht="17">
      <c r="A22" s="255"/>
      <c r="B22" s="263" t="s">
        <v>533</v>
      </c>
      <c r="C22" s="263"/>
      <c r="D22" s="263"/>
      <c r="E22" s="263"/>
      <c r="F22" s="264">
        <f t="shared" ref="F22" si="1">F10</f>
        <v>0.34</v>
      </c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</row>
    <row r="23" spans="1:23">
      <c r="A23" s="255"/>
      <c r="B23" s="271" t="s">
        <v>534</v>
      </c>
      <c r="C23" s="276"/>
      <c r="D23" s="276"/>
      <c r="E23" s="276"/>
      <c r="F23" s="272">
        <f t="shared" ref="F23" si="2">F21*(1-F22)</f>
        <v>0.13199999999999998</v>
      </c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</row>
    <row r="24" spans="1:23">
      <c r="A24" s="255"/>
      <c r="B24" s="258"/>
      <c r="C24" s="258"/>
      <c r="D24" s="258"/>
      <c r="E24" s="258"/>
      <c r="F24" s="280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</row>
    <row r="25" spans="1:23">
      <c r="A25" s="255"/>
      <c r="B25" s="278" t="s">
        <v>535</v>
      </c>
      <c r="C25" s="279"/>
      <c r="D25" s="279"/>
      <c r="E25" s="279"/>
      <c r="F25" s="279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</row>
    <row r="26" spans="1:23">
      <c r="A26" s="255"/>
      <c r="B26" s="263" t="s">
        <v>536</v>
      </c>
      <c r="C26" s="258"/>
      <c r="D26" s="258"/>
      <c r="E26" s="258"/>
      <c r="F26" s="264">
        <f t="shared" ref="F26" si="3">(F11/(F11+1))</f>
        <v>0</v>
      </c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</row>
    <row r="27" spans="1:23">
      <c r="A27" s="255"/>
      <c r="B27" s="263" t="s">
        <v>537</v>
      </c>
      <c r="C27" s="258"/>
      <c r="D27" s="258"/>
      <c r="E27" s="258"/>
      <c r="F27" s="264">
        <f t="shared" ref="F27" si="4">1-F26</f>
        <v>1</v>
      </c>
      <c r="G27" s="255"/>
      <c r="H27" s="255"/>
      <c r="I27" s="255"/>
      <c r="J27" s="255"/>
      <c r="K27" s="255"/>
      <c r="L27" s="255"/>
      <c r="M27" s="255"/>
      <c r="N27" s="255"/>
      <c r="O27" s="255"/>
      <c r="P27" s="255"/>
      <c r="Q27" s="255"/>
      <c r="R27" s="255"/>
      <c r="S27" s="255"/>
      <c r="T27" s="255"/>
      <c r="U27" s="255"/>
      <c r="V27" s="255"/>
      <c r="W27" s="255"/>
    </row>
    <row r="28" spans="1:23">
      <c r="A28" s="255"/>
      <c r="B28" s="271" t="s">
        <v>538</v>
      </c>
      <c r="C28" s="281"/>
      <c r="D28" s="281"/>
      <c r="E28" s="281"/>
      <c r="F28" s="272">
        <f>F18*F27+F23*F26</f>
        <v>0.19430029296875007</v>
      </c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</row>
    <row r="29" spans="1:23">
      <c r="A29" s="255"/>
      <c r="B29" s="263"/>
      <c r="C29" s="263"/>
      <c r="D29" s="263"/>
      <c r="E29" s="263"/>
      <c r="F29" s="264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</row>
    <row r="30" spans="1:23">
      <c r="A30" s="255"/>
      <c r="B30" s="263"/>
      <c r="C30" s="263"/>
      <c r="D30" s="263"/>
      <c r="E30" s="263"/>
      <c r="F30" s="264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</row>
    <row r="31" spans="1:23">
      <c r="A31" s="255"/>
      <c r="B31" s="282"/>
      <c r="C31" s="263"/>
      <c r="D31" s="263"/>
      <c r="E31" s="263"/>
      <c r="F31" s="283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</row>
    <row r="32" spans="1:23">
      <c r="A32" s="255"/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</row>
    <row r="33" spans="1:23">
      <c r="A33" s="255"/>
      <c r="B33" s="284"/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</row>
    <row r="34" spans="1:23" ht="17">
      <c r="A34" s="255"/>
      <c r="B34" s="285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</row>
    <row r="35" spans="1:23" ht="17">
      <c r="A35" s="255"/>
      <c r="B35" s="285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</row>
    <row r="36" spans="1:23">
      <c r="A36" s="255"/>
      <c r="B36" s="284"/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</row>
    <row r="37" spans="1:23">
      <c r="A37" s="255"/>
      <c r="B37" s="284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  <c r="N37" s="255"/>
      <c r="O37" s="255"/>
      <c r="P37" s="255"/>
      <c r="Q37" s="255"/>
      <c r="R37" s="255"/>
      <c r="S37" s="255"/>
      <c r="T37" s="255"/>
      <c r="U37" s="255"/>
      <c r="V37" s="255"/>
      <c r="W37" s="255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31"/>
  <sheetViews>
    <sheetView workbookViewId="0">
      <selection activeCell="J30" sqref="J30"/>
    </sheetView>
  </sheetViews>
  <sheetFormatPr baseColWidth="10" defaultColWidth="8.83203125" defaultRowHeight="15"/>
  <cols>
    <col min="1" max="1" width="38.5" bestFit="1" customWidth="1"/>
    <col min="2" max="3" width="14.1640625" bestFit="1" customWidth="1"/>
    <col min="4" max="4" width="21.5" customWidth="1"/>
    <col min="5" max="5" width="15" bestFit="1" customWidth="1"/>
    <col min="6" max="7" width="14.1640625" bestFit="1" customWidth="1"/>
    <col min="8" max="10" width="13.5" bestFit="1" customWidth="1"/>
    <col min="11" max="11" width="14.83203125" bestFit="1" customWidth="1"/>
    <col min="12" max="12" width="13.5" bestFit="1" customWidth="1"/>
    <col min="13" max="27" width="14.5" bestFit="1" customWidth="1"/>
  </cols>
  <sheetData>
    <row r="1" spans="1:27" ht="25">
      <c r="A1" s="518" t="s">
        <v>225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</row>
    <row r="2" spans="1:27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</row>
    <row r="3" spans="1:27" ht="18">
      <c r="A3" s="519" t="s">
        <v>226</v>
      </c>
      <c r="B3" s="519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</row>
    <row r="4" spans="1:27">
      <c r="A4" s="520" t="s">
        <v>227</v>
      </c>
      <c r="B4" s="521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</row>
    <row r="5" spans="1:27">
      <c r="A5" s="131" t="s">
        <v>228</v>
      </c>
      <c r="B5" s="132">
        <v>2022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</row>
    <row r="6" spans="1:27">
      <c r="A6" s="134" t="s">
        <v>229</v>
      </c>
      <c r="B6" s="135">
        <v>9.9599999999999994E-2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</row>
    <row r="7" spans="1:27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</row>
    <row r="8" spans="1:27" ht="39" customHeight="1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</row>
    <row r="9" spans="1:27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</row>
    <row r="10" spans="1:27">
      <c r="A10" s="522" t="s">
        <v>115</v>
      </c>
      <c r="B10" s="136">
        <v>0</v>
      </c>
      <c r="C10" s="137">
        <v>1</v>
      </c>
      <c r="D10" s="137">
        <v>2</v>
      </c>
      <c r="E10" s="137">
        <v>3</v>
      </c>
      <c r="F10" s="137">
        <v>4</v>
      </c>
      <c r="G10" s="137">
        <v>5</v>
      </c>
      <c r="H10" s="137">
        <v>6</v>
      </c>
      <c r="I10" s="137">
        <v>7</v>
      </c>
      <c r="J10" s="137">
        <v>8</v>
      </c>
      <c r="K10" s="137">
        <v>9</v>
      </c>
      <c r="L10" s="137">
        <v>10</v>
      </c>
      <c r="M10" s="137">
        <v>11</v>
      </c>
      <c r="N10" s="137">
        <v>12</v>
      </c>
      <c r="O10" s="137">
        <v>13</v>
      </c>
      <c r="P10" s="137">
        <v>14</v>
      </c>
      <c r="Q10" s="137">
        <v>15</v>
      </c>
      <c r="R10" s="137">
        <v>16</v>
      </c>
      <c r="S10" s="137">
        <v>17</v>
      </c>
      <c r="T10" s="137">
        <v>18</v>
      </c>
      <c r="U10" s="137">
        <v>19</v>
      </c>
      <c r="V10" s="137">
        <v>20</v>
      </c>
      <c r="W10" s="137">
        <v>21</v>
      </c>
      <c r="X10" s="137">
        <v>22</v>
      </c>
      <c r="Y10" s="137">
        <v>23</v>
      </c>
      <c r="Z10" s="137">
        <v>24</v>
      </c>
      <c r="AA10" s="137">
        <v>25</v>
      </c>
    </row>
    <row r="11" spans="1:27">
      <c r="A11" s="523"/>
      <c r="B11" s="138">
        <v>2023</v>
      </c>
      <c r="C11" s="138">
        <v>2024</v>
      </c>
      <c r="D11" s="138">
        <f t="shared" ref="D11:AA11" si="0">C11+1</f>
        <v>2025</v>
      </c>
      <c r="E11" s="138">
        <f t="shared" si="0"/>
        <v>2026</v>
      </c>
      <c r="F11" s="138">
        <f t="shared" si="0"/>
        <v>2027</v>
      </c>
      <c r="G11" s="138">
        <f t="shared" si="0"/>
        <v>2028</v>
      </c>
      <c r="H11" s="138">
        <f t="shared" si="0"/>
        <v>2029</v>
      </c>
      <c r="I11" s="138">
        <f t="shared" si="0"/>
        <v>2030</v>
      </c>
      <c r="J11" s="138">
        <f t="shared" si="0"/>
        <v>2031</v>
      </c>
      <c r="K11" s="138">
        <f t="shared" si="0"/>
        <v>2032</v>
      </c>
      <c r="L11" s="138">
        <f t="shared" si="0"/>
        <v>2033</v>
      </c>
      <c r="M11" s="138">
        <f t="shared" si="0"/>
        <v>2034</v>
      </c>
      <c r="N11" s="138">
        <f t="shared" si="0"/>
        <v>2035</v>
      </c>
      <c r="O11" s="138">
        <f t="shared" si="0"/>
        <v>2036</v>
      </c>
      <c r="P11" s="138">
        <f t="shared" si="0"/>
        <v>2037</v>
      </c>
      <c r="Q11" s="138">
        <f t="shared" si="0"/>
        <v>2038</v>
      </c>
      <c r="R11" s="138">
        <f t="shared" si="0"/>
        <v>2039</v>
      </c>
      <c r="S11" s="138">
        <f t="shared" si="0"/>
        <v>2040</v>
      </c>
      <c r="T11" s="138">
        <f t="shared" si="0"/>
        <v>2041</v>
      </c>
      <c r="U11" s="138">
        <f t="shared" si="0"/>
        <v>2042</v>
      </c>
      <c r="V11" s="138">
        <f t="shared" si="0"/>
        <v>2043</v>
      </c>
      <c r="W11" s="138">
        <f t="shared" si="0"/>
        <v>2044</v>
      </c>
      <c r="X11" s="138">
        <f t="shared" si="0"/>
        <v>2045</v>
      </c>
      <c r="Y11" s="138">
        <f t="shared" si="0"/>
        <v>2046</v>
      </c>
      <c r="Z11" s="138">
        <f t="shared" si="0"/>
        <v>2047</v>
      </c>
      <c r="AA11" s="138">
        <f t="shared" si="0"/>
        <v>2048</v>
      </c>
    </row>
    <row r="12" spans="1:27" ht="16">
      <c r="A12" s="139" t="s">
        <v>242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</row>
    <row r="13" spans="1:27">
      <c r="A13" s="140" t="s">
        <v>230</v>
      </c>
      <c r="B13" s="141">
        <f>'Fluxo de Caixa'!B11</f>
        <v>-25120949.728862964</v>
      </c>
      <c r="C13" s="141">
        <f>'Fluxo de Caixa'!C11</f>
        <v>4487567.2158206878</v>
      </c>
      <c r="D13" s="141">
        <f>'Fluxo de Caixa'!D11</f>
        <v>3776430.6158312187</v>
      </c>
      <c r="E13" s="141">
        <f>'Fluxo de Caixa'!E11</f>
        <v>4111629.7917657658</v>
      </c>
      <c r="F13" s="141">
        <f>'Fluxo de Caixa'!F11</f>
        <v>4461146.9377200641</v>
      </c>
      <c r="G13" s="141">
        <f>'Fluxo de Caixa'!G11</f>
        <v>4860272.9621208869</v>
      </c>
      <c r="H13" s="141">
        <f>'Fluxo de Caixa'!H11</f>
        <v>5290171.0911240345</v>
      </c>
      <c r="I13" s="141">
        <f>'Fluxo de Caixa'!I11</f>
        <v>5766839.2798383031</v>
      </c>
      <c r="J13" s="141">
        <f>'Fluxo de Caixa'!J11</f>
        <v>6264039.6991181085</v>
      </c>
      <c r="K13" s="141">
        <f>'Fluxo de Caixa'!K11</f>
        <v>6838602.8461920423</v>
      </c>
      <c r="L13" s="141">
        <f>'Fluxo de Caixa'!L11</f>
        <v>7374045.2014321703</v>
      </c>
      <c r="M13" s="141">
        <f>'Fluxo de Caixa'!M11</f>
        <v>3269029.242099911</v>
      </c>
      <c r="N13" s="141">
        <f>'Fluxo de Caixa'!N11</f>
        <v>8447518.4628068823</v>
      </c>
      <c r="O13" s="141">
        <f>'Fluxo de Caixa'!O11</f>
        <v>9237363.1808597669</v>
      </c>
      <c r="P13" s="141">
        <f>'Fluxo de Caixa'!P11</f>
        <v>10097590.938325033</v>
      </c>
      <c r="Q13" s="141">
        <f>'Fluxo de Caixa'!Q11</f>
        <v>11034200.031364108</v>
      </c>
      <c r="R13" s="141">
        <f>'Fluxo de Caixa'!R11</f>
        <v>12053711.33434904</v>
      </c>
      <c r="S13" s="141">
        <f>'Fluxo de Caixa'!S11</f>
        <v>13163168.15665403</v>
      </c>
      <c r="T13" s="141">
        <f>'Fluxo de Caixa'!T11</f>
        <v>14370208.045823842</v>
      </c>
      <c r="U13" s="141">
        <f>'Fluxo de Caixa'!U11</f>
        <v>15683094.491168465</v>
      </c>
      <c r="V13" s="141">
        <f>'Fluxo de Caixa'!V11</f>
        <v>17110781.987589579</v>
      </c>
      <c r="W13" s="141">
        <f>'Fluxo de Caixa'!W11</f>
        <v>18572506.935822327</v>
      </c>
      <c r="X13" s="141">
        <f>'Fluxo de Caixa'!X11</f>
        <v>20259656.740454692</v>
      </c>
      <c r="Y13" s="141">
        <f>'Fluxo de Caixa'!Y11</f>
        <v>22093144.448775209</v>
      </c>
      <c r="Z13" s="141">
        <f>'Fluxo de Caixa'!Z11</f>
        <v>24085251.294155478</v>
      </c>
      <c r="AA13" s="141">
        <f>'Fluxo de Caixa'!AA11</f>
        <v>35912354.713287592</v>
      </c>
    </row>
    <row r="14" spans="1:27">
      <c r="A14" s="140" t="s">
        <v>231</v>
      </c>
      <c r="B14" s="141">
        <f>'Fluxo de Caixa'!B12</f>
        <v>-25120949.728862964</v>
      </c>
      <c r="C14" s="141">
        <f>'Fluxo de Caixa'!C12</f>
        <v>-20633382.513042275</v>
      </c>
      <c r="D14" s="141">
        <f>'Fluxo de Caixa'!D12</f>
        <v>-16856951.897211056</v>
      </c>
      <c r="E14" s="141">
        <f>'Fluxo de Caixa'!E12</f>
        <v>-12745322.10544529</v>
      </c>
      <c r="F14" s="141">
        <f>'Fluxo de Caixa'!F12</f>
        <v>-8284175.1677252259</v>
      </c>
      <c r="G14" s="141">
        <f>'Fluxo de Caixa'!G12</f>
        <v>-3423902.205604339</v>
      </c>
      <c r="H14" s="141">
        <f>'Fluxo de Caixa'!H12</f>
        <v>1866268.8855196955</v>
      </c>
      <c r="I14" s="141">
        <f>'Fluxo de Caixa'!I12</f>
        <v>7633108.1653579986</v>
      </c>
      <c r="J14" s="141">
        <f>'Fluxo de Caixa'!J12</f>
        <v>13897147.864476107</v>
      </c>
      <c r="K14" s="141">
        <f>'Fluxo de Caixa'!K12</f>
        <v>20735750.71066815</v>
      </c>
      <c r="L14" s="141">
        <f>'Fluxo de Caixa'!L12</f>
        <v>28109795.912100323</v>
      </c>
      <c r="M14" s="141">
        <f>'Fluxo de Caixa'!M12</f>
        <v>31378825.154200234</v>
      </c>
      <c r="N14" s="141">
        <f>'Fluxo de Caixa'!N12</f>
        <v>39826343.617007114</v>
      </c>
      <c r="O14" s="141">
        <f>'Fluxo de Caixa'!O12</f>
        <v>49063706.797866881</v>
      </c>
      <c r="P14" s="141">
        <f>'Fluxo de Caixa'!P12</f>
        <v>59161297.736191913</v>
      </c>
      <c r="Q14" s="141">
        <f>'Fluxo de Caixa'!Q12</f>
        <v>70195497.767556027</v>
      </c>
      <c r="R14" s="141">
        <f>'Fluxo de Caixa'!R12</f>
        <v>82249209.101905063</v>
      </c>
      <c r="S14" s="141">
        <f>'Fluxo de Caixa'!S12</f>
        <v>95412377.258559093</v>
      </c>
      <c r="T14" s="141">
        <f>'Fluxo de Caixa'!T12</f>
        <v>109782585.30438294</v>
      </c>
      <c r="U14" s="141">
        <f>'Fluxo de Caixa'!U12</f>
        <v>125465679.7955514</v>
      </c>
      <c r="V14" s="141">
        <f>'Fluxo de Caixa'!V12</f>
        <v>142576461.78314099</v>
      </c>
      <c r="W14" s="141">
        <f>'Fluxo de Caixa'!W12</f>
        <v>161148968.71896333</v>
      </c>
      <c r="X14" s="141">
        <f>'Fluxo de Caixa'!X12</f>
        <v>181408625.45941803</v>
      </c>
      <c r="Y14" s="141">
        <f>'Fluxo de Caixa'!Y12</f>
        <v>203501769.90819323</v>
      </c>
      <c r="Z14" s="141">
        <f>'Fluxo de Caixa'!Z12</f>
        <v>227587021.20234871</v>
      </c>
      <c r="AA14" s="141">
        <f>'Fluxo de Caixa'!AA12</f>
        <v>263499375.9156363</v>
      </c>
    </row>
    <row r="15" spans="1:27">
      <c r="A15" s="143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2"/>
      <c r="N15" s="142"/>
      <c r="O15" s="142"/>
      <c r="P15" s="142"/>
      <c r="Q15" s="142"/>
      <c r="R15" s="142"/>
      <c r="S15" s="142"/>
      <c r="T15" s="142"/>
      <c r="U15" s="142"/>
      <c r="V15" s="142"/>
    </row>
    <row r="16" spans="1:27">
      <c r="A16" s="144" t="s">
        <v>232</v>
      </c>
      <c r="B16" s="145" t="s">
        <v>233</v>
      </c>
      <c r="C16" s="145" t="s">
        <v>234</v>
      </c>
      <c r="D16" s="146" t="s">
        <v>235</v>
      </c>
      <c r="E16" s="147" t="str">
        <f t="shared" ref="E16:F21" si="1">B16</f>
        <v>TIR</v>
      </c>
      <c r="F16" s="147" t="str">
        <f t="shared" si="1"/>
        <v>VPL</v>
      </c>
      <c r="G16" s="148" t="s">
        <v>236</v>
      </c>
      <c r="H16" s="148"/>
      <c r="I16" s="143"/>
      <c r="J16" s="143"/>
      <c r="K16" s="143"/>
      <c r="L16" s="143"/>
      <c r="M16" s="143"/>
      <c r="N16" s="143"/>
      <c r="O16" s="143"/>
      <c r="P16" s="143"/>
      <c r="Q16" s="142"/>
      <c r="R16" s="142"/>
      <c r="S16" s="142"/>
      <c r="T16" s="142"/>
      <c r="U16" s="142"/>
      <c r="V16" s="142"/>
    </row>
    <row r="17" spans="1:22">
      <c r="A17" s="149" t="s">
        <v>237</v>
      </c>
      <c r="B17" s="150">
        <f>IRR(B13:AA13)</f>
        <v>0.21941205382632378</v>
      </c>
      <c r="C17" s="151">
        <f>NPV($B$6,B13:AA13)</f>
        <v>40120795.01156459</v>
      </c>
      <c r="D17" s="152">
        <v>25</v>
      </c>
      <c r="E17" s="153">
        <f t="shared" si="1"/>
        <v>0.21941205382632378</v>
      </c>
      <c r="F17" s="154">
        <f t="shared" si="1"/>
        <v>40120795.01156459</v>
      </c>
      <c r="G17" s="155">
        <f>$B$6</f>
        <v>9.9599999999999994E-2</v>
      </c>
      <c r="H17" s="148"/>
      <c r="I17" s="143"/>
      <c r="J17" s="143"/>
      <c r="K17" s="143"/>
      <c r="L17" s="143"/>
      <c r="M17" s="143"/>
      <c r="N17" s="143"/>
      <c r="O17" s="143"/>
      <c r="P17" s="143"/>
      <c r="Q17" s="142"/>
      <c r="R17" s="142"/>
      <c r="S17" s="142"/>
      <c r="T17" s="142"/>
      <c r="U17" s="142"/>
      <c r="V17" s="142"/>
    </row>
    <row r="18" spans="1:22">
      <c r="A18" s="149" t="s">
        <v>238</v>
      </c>
      <c r="B18" s="150">
        <f>IRR(B13:V13)</f>
        <v>0.21036255333463072</v>
      </c>
      <c r="C18" s="151">
        <f>NPV($B$6,B13:V13)</f>
        <v>27991508.141326092</v>
      </c>
      <c r="D18" s="152">
        <v>20</v>
      </c>
      <c r="E18" s="165">
        <f t="shared" si="1"/>
        <v>0.21036255333463072</v>
      </c>
      <c r="F18" s="166">
        <f t="shared" si="1"/>
        <v>27991508.141326092</v>
      </c>
      <c r="G18" s="155">
        <f>$B$6</f>
        <v>9.9599999999999994E-2</v>
      </c>
      <c r="H18" s="156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</row>
    <row r="19" spans="1:22">
      <c r="A19" s="149" t="s">
        <v>239</v>
      </c>
      <c r="B19" s="150">
        <f>IRR(B13:Q13)</f>
        <v>0.19045418324225039</v>
      </c>
      <c r="C19" s="151">
        <f>NPV($B$6,B13:Q13)</f>
        <v>16164828.177558025</v>
      </c>
      <c r="D19" s="167">
        <v>15</v>
      </c>
      <c r="E19" s="168">
        <f t="shared" si="1"/>
        <v>0.19045418324225039</v>
      </c>
      <c r="F19" s="169">
        <f t="shared" si="1"/>
        <v>16164828.177558025</v>
      </c>
      <c r="G19" s="155">
        <f>$B$6</f>
        <v>9.9599999999999994E-2</v>
      </c>
      <c r="H19" s="157"/>
      <c r="I19" s="158"/>
      <c r="J19" s="158"/>
      <c r="K19" s="158"/>
      <c r="L19" s="158"/>
      <c r="M19" s="158"/>
      <c r="N19" s="158"/>
      <c r="O19" s="158"/>
      <c r="P19" s="158"/>
      <c r="Q19" s="158"/>
      <c r="R19" s="130"/>
      <c r="S19" s="130"/>
      <c r="T19" s="130"/>
      <c r="U19" s="130"/>
      <c r="V19" s="130"/>
    </row>
    <row r="20" spans="1:22">
      <c r="A20" s="149" t="s">
        <v>240</v>
      </c>
      <c r="B20" s="150">
        <f>IRR(B13:L13)</f>
        <v>0.14603141899320682</v>
      </c>
      <c r="C20" s="151">
        <f>NPV($B$6,B13:L13)</f>
        <v>5369327.9534342941</v>
      </c>
      <c r="D20" s="167">
        <v>10</v>
      </c>
      <c r="E20" s="168">
        <f t="shared" si="1"/>
        <v>0.14603141899320682</v>
      </c>
      <c r="F20" s="169">
        <f t="shared" si="1"/>
        <v>5369327.9534342941</v>
      </c>
      <c r="G20" s="155">
        <f>$B$6</f>
        <v>9.9599999999999994E-2</v>
      </c>
      <c r="H20" s="159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</row>
    <row r="21" spans="1:22">
      <c r="A21" s="149" t="s">
        <v>241</v>
      </c>
      <c r="B21" s="150">
        <f>IRR(B13:G13)</f>
        <v>-4.594743247696742E-2</v>
      </c>
      <c r="C21" s="151">
        <f>NPV($B$6,B13:G13)</f>
        <v>-7956775.8688756311</v>
      </c>
      <c r="D21" s="167">
        <v>5</v>
      </c>
      <c r="E21" s="168">
        <f t="shared" si="1"/>
        <v>-4.594743247696742E-2</v>
      </c>
      <c r="F21" s="169">
        <f t="shared" si="1"/>
        <v>-7956775.8688756311</v>
      </c>
      <c r="G21" s="155">
        <f>$B$6</f>
        <v>9.9599999999999994E-2</v>
      </c>
      <c r="H21" s="159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</row>
    <row r="22" spans="1:22">
      <c r="A22" s="158"/>
      <c r="B22" s="158"/>
      <c r="C22" s="158"/>
      <c r="D22" s="158"/>
      <c r="E22" s="160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30"/>
      <c r="U22" s="130"/>
      <c r="V22" s="130"/>
    </row>
    <row r="23" spans="1:22" ht="14.25" customHeight="1">
      <c r="A23" s="130"/>
      <c r="B23" s="161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</row>
    <row r="24" spans="1:22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</row>
    <row r="25" spans="1:22">
      <c r="A25" s="130"/>
      <c r="B25" s="130"/>
      <c r="C25" s="130"/>
      <c r="D25" s="517"/>
      <c r="E25" s="517"/>
      <c r="F25" s="517"/>
      <c r="G25" s="517"/>
      <c r="H25" s="517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</row>
    <row r="26" spans="1:22">
      <c r="A26" s="130"/>
      <c r="B26" s="130"/>
      <c r="C26" s="130"/>
      <c r="D26" s="130"/>
      <c r="E26" s="163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</row>
    <row r="27" spans="1:22">
      <c r="A27" s="130"/>
      <c r="B27" s="130"/>
      <c r="C27" s="130"/>
      <c r="D27" s="130"/>
      <c r="E27" s="163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</row>
    <row r="28" spans="1:22">
      <c r="A28" s="130"/>
      <c r="B28" s="130"/>
      <c r="C28" s="130"/>
      <c r="D28" s="130"/>
      <c r="E28" s="162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</row>
    <row r="29" spans="1:22">
      <c r="A29" s="130"/>
      <c r="B29" s="130"/>
      <c r="C29" s="130"/>
      <c r="D29" s="130"/>
      <c r="E29" s="164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</row>
    <row r="30" spans="1:22">
      <c r="A30" s="130"/>
      <c r="B30" s="130"/>
      <c r="C30" s="130"/>
      <c r="D30" s="130"/>
      <c r="E30" s="162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</row>
    <row r="31" spans="1:22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</row>
  </sheetData>
  <mergeCells count="5">
    <mergeCell ref="D25:H25"/>
    <mergeCell ref="A1:V1"/>
    <mergeCell ref="A3:B3"/>
    <mergeCell ref="A4:B4"/>
    <mergeCell ref="A10:A11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6"/>
  <sheetViews>
    <sheetView topLeftCell="A29" zoomScale="134" workbookViewId="0">
      <selection activeCell="B44" sqref="B44"/>
    </sheetView>
  </sheetViews>
  <sheetFormatPr baseColWidth="10" defaultColWidth="9.1640625" defaultRowHeight="15"/>
  <cols>
    <col min="1" max="1" width="10.1640625" style="39" customWidth="1"/>
    <col min="2" max="2" width="43.83203125" style="39" bestFit="1" customWidth="1"/>
    <col min="3" max="3" width="14.5" style="39" customWidth="1"/>
    <col min="4" max="4" width="18" style="39" bestFit="1" customWidth="1"/>
    <col min="5" max="5" width="15.1640625" style="39" bestFit="1" customWidth="1"/>
    <col min="6" max="6" width="15" style="39" customWidth="1"/>
    <col min="7" max="7" width="11.33203125" style="39" customWidth="1"/>
    <col min="8" max="8" width="4.83203125" style="39" customWidth="1"/>
    <col min="9" max="9" width="14" style="39" bestFit="1" customWidth="1"/>
    <col min="10" max="10" width="9.1640625" style="39"/>
    <col min="11" max="11" width="14.6640625" style="39" bestFit="1" customWidth="1"/>
    <col min="12" max="16384" width="9.1640625" style="39"/>
  </cols>
  <sheetData>
    <row r="1" spans="1:11">
      <c r="A1" s="287"/>
      <c r="B1" s="456" t="s">
        <v>762</v>
      </c>
      <c r="C1" s="456"/>
      <c r="D1" s="456"/>
      <c r="E1" s="456"/>
      <c r="F1" s="456"/>
      <c r="G1" s="287"/>
      <c r="H1" s="287"/>
      <c r="I1" s="287"/>
    </row>
    <row r="2" spans="1:11">
      <c r="A2" s="287"/>
      <c r="B2" s="287"/>
      <c r="C2" s="287"/>
      <c r="D2" s="287"/>
      <c r="E2" s="287"/>
      <c r="F2" s="287"/>
      <c r="G2" s="287"/>
      <c r="H2" s="287"/>
      <c r="I2" s="287"/>
    </row>
    <row r="3" spans="1:11">
      <c r="A3" s="287"/>
      <c r="B3" s="305"/>
      <c r="C3" s="305"/>
      <c r="D3" s="287"/>
      <c r="E3" s="287"/>
      <c r="F3" s="287"/>
      <c r="G3" s="287"/>
      <c r="H3" s="287"/>
      <c r="I3" s="287"/>
    </row>
    <row r="4" spans="1:11">
      <c r="A4" s="305"/>
      <c r="B4" s="289"/>
      <c r="C4" s="289"/>
      <c r="D4" s="312"/>
      <c r="E4" s="313"/>
      <c r="F4" s="299"/>
      <c r="G4" s="300"/>
      <c r="H4" s="300"/>
      <c r="I4" s="300"/>
    </row>
    <row r="5" spans="1:11">
      <c r="A5" s="289" t="s">
        <v>37</v>
      </c>
      <c r="B5" s="290" t="s">
        <v>251</v>
      </c>
      <c r="C5" s="290" t="s">
        <v>29</v>
      </c>
      <c r="D5" s="290" t="s">
        <v>39</v>
      </c>
      <c r="E5" s="290" t="s">
        <v>252</v>
      </c>
      <c r="F5" s="290" t="s">
        <v>253</v>
      </c>
      <c r="G5" s="290" t="s">
        <v>54</v>
      </c>
      <c r="H5" s="448" t="s">
        <v>444</v>
      </c>
      <c r="I5" s="290" t="s">
        <v>445</v>
      </c>
    </row>
    <row r="6" spans="1:11">
      <c r="A6" s="295"/>
      <c r="B6" s="288"/>
      <c r="C6" s="295"/>
      <c r="D6" s="296"/>
      <c r="E6" s="297"/>
      <c r="F6" s="297"/>
      <c r="G6" s="298"/>
      <c r="H6" s="108">
        <v>5.79E-2</v>
      </c>
      <c r="I6" s="300"/>
    </row>
    <row r="7" spans="1:11">
      <c r="A7" s="291" t="s">
        <v>254</v>
      </c>
      <c r="B7" s="292" t="s">
        <v>410</v>
      </c>
      <c r="C7" s="295"/>
      <c r="D7" s="296"/>
      <c r="E7" s="302"/>
      <c r="F7" s="293"/>
      <c r="G7" s="294"/>
      <c r="H7" s="294"/>
      <c r="I7" s="300"/>
    </row>
    <row r="8" spans="1:11">
      <c r="A8" s="295" t="s">
        <v>41</v>
      </c>
      <c r="B8" s="292" t="s">
        <v>335</v>
      </c>
      <c r="C8" s="295"/>
      <c r="D8" s="296"/>
      <c r="E8" s="302"/>
      <c r="F8" s="293">
        <f>SUM(F9:F16)</f>
        <v>1149550.7116799997</v>
      </c>
      <c r="G8" s="294">
        <f>SUM(G9:G16)</f>
        <v>0.43138145732180455</v>
      </c>
      <c r="H8" s="294"/>
      <c r="I8" s="293">
        <f>F8*(1+$H$6)^10</f>
        <v>2018246.9551794764</v>
      </c>
    </row>
    <row r="9" spans="1:11">
      <c r="A9" s="295" t="s">
        <v>44</v>
      </c>
      <c r="B9" s="288" t="s">
        <v>336</v>
      </c>
      <c r="C9" s="295" t="s">
        <v>259</v>
      </c>
      <c r="D9" s="296">
        <v>4500</v>
      </c>
      <c r="E9" s="297">
        <v>0.51</v>
      </c>
      <c r="F9" s="297">
        <f>(D9*E9)*1.2912</f>
        <v>2963.3039999999996</v>
      </c>
      <c r="G9" s="298">
        <f t="shared" ref="G9:G16" si="0">F9/$F$44</f>
        <v>1.1120121844292994E-3</v>
      </c>
      <c r="H9" s="298"/>
      <c r="I9" s="297">
        <f>F9*(1+$H$6)^10</f>
        <v>5202.6232635972683</v>
      </c>
      <c r="K9" s="39" t="s">
        <v>770</v>
      </c>
    </row>
    <row r="10" spans="1:11">
      <c r="A10" s="295" t="s">
        <v>130</v>
      </c>
      <c r="B10" s="288" t="s">
        <v>337</v>
      </c>
      <c r="C10" s="295" t="s">
        <v>259</v>
      </c>
      <c r="D10" s="296">
        <v>1500</v>
      </c>
      <c r="E10" s="297">
        <v>1.23</v>
      </c>
      <c r="F10" s="297">
        <f t="shared" ref="F10:F16" si="1">(D10*E10)*1.2912</f>
        <v>2382.2639999999997</v>
      </c>
      <c r="G10" s="298">
        <f t="shared" si="0"/>
        <v>8.9397057963924069E-4</v>
      </c>
      <c r="H10" s="298"/>
      <c r="I10" s="297">
        <f t="shared" ref="I10:I26" si="2">F10*(1+$H$6)^10</f>
        <v>4182.5010550487841</v>
      </c>
    </row>
    <row r="11" spans="1:11">
      <c r="A11" s="295" t="s">
        <v>320</v>
      </c>
      <c r="B11" s="288" t="s">
        <v>338</v>
      </c>
      <c r="C11" s="295" t="s">
        <v>261</v>
      </c>
      <c r="D11" s="296">
        <f>100</f>
        <v>100</v>
      </c>
      <c r="E11" s="297">
        <v>116.67</v>
      </c>
      <c r="F11" s="297">
        <f t="shared" si="1"/>
        <v>15064.430399999999</v>
      </c>
      <c r="G11" s="298">
        <f t="shared" si="0"/>
        <v>5.6530920068569232E-3</v>
      </c>
      <c r="H11" s="298"/>
      <c r="I11" s="297">
        <f t="shared" si="2"/>
        <v>26448.36846030036</v>
      </c>
    </row>
    <row r="12" spans="1:11">
      <c r="A12" s="295" t="s">
        <v>328</v>
      </c>
      <c r="B12" s="288" t="s">
        <v>339</v>
      </c>
      <c r="C12" s="295" t="s">
        <v>261</v>
      </c>
      <c r="D12" s="296">
        <f>80</f>
        <v>80</v>
      </c>
      <c r="E12" s="297">
        <v>205.43</v>
      </c>
      <c r="F12" s="297">
        <f t="shared" si="1"/>
        <v>21220.097280000002</v>
      </c>
      <c r="G12" s="298">
        <f t="shared" si="0"/>
        <v>7.963073221692759E-3</v>
      </c>
      <c r="H12" s="298"/>
      <c r="I12" s="297">
        <f t="shared" si="2"/>
        <v>37255.76983148713</v>
      </c>
    </row>
    <row r="13" spans="1:11">
      <c r="A13" s="295" t="s">
        <v>378</v>
      </c>
      <c r="B13" s="288" t="s">
        <v>340</v>
      </c>
      <c r="C13" s="295" t="s">
        <v>261</v>
      </c>
      <c r="D13" s="296">
        <v>120</v>
      </c>
      <c r="E13" s="297">
        <v>132.72</v>
      </c>
      <c r="F13" s="297">
        <f t="shared" si="1"/>
        <v>20564.167679999999</v>
      </c>
      <c r="G13" s="298">
        <f t="shared" si="0"/>
        <v>7.7169284767297586E-3</v>
      </c>
      <c r="H13" s="298"/>
      <c r="I13" s="297">
        <f t="shared" si="2"/>
        <v>36104.165204947945</v>
      </c>
    </row>
    <row r="14" spans="1:11">
      <c r="A14" s="295" t="s">
        <v>394</v>
      </c>
      <c r="B14" s="288" t="s">
        <v>342</v>
      </c>
      <c r="C14" s="295" t="s">
        <v>405</v>
      </c>
      <c r="D14" s="296">
        <f>12*5</f>
        <v>60</v>
      </c>
      <c r="E14" s="297">
        <v>1350.21</v>
      </c>
      <c r="F14" s="297">
        <f t="shared" si="1"/>
        <v>104603.46911999999</v>
      </c>
      <c r="G14" s="298">
        <f t="shared" si="0"/>
        <v>3.9253594027144692E-2</v>
      </c>
      <c r="H14" s="298"/>
      <c r="I14" s="297">
        <f t="shared" si="2"/>
        <v>183650.56096056648</v>
      </c>
    </row>
    <row r="15" spans="1:11">
      <c r="A15" s="295" t="s">
        <v>395</v>
      </c>
      <c r="B15" s="288" t="s">
        <v>343</v>
      </c>
      <c r="C15" s="295" t="s">
        <v>344</v>
      </c>
      <c r="D15" s="296">
        <f>50*30*3</f>
        <v>4500</v>
      </c>
      <c r="E15" s="297">
        <f>700000/D15</f>
        <v>155.55555555555554</v>
      </c>
      <c r="F15" s="297">
        <f t="shared" si="1"/>
        <v>903839.99999999988</v>
      </c>
      <c r="G15" s="298">
        <f t="shared" si="0"/>
        <v>0.33917582967342469</v>
      </c>
      <c r="H15" s="298"/>
      <c r="I15" s="297">
        <f t="shared" si="2"/>
        <v>1586856.7688531971</v>
      </c>
    </row>
    <row r="16" spans="1:11">
      <c r="A16" s="295" t="s">
        <v>396</v>
      </c>
      <c r="B16" s="288" t="s">
        <v>347</v>
      </c>
      <c r="C16" s="295" t="s">
        <v>259</v>
      </c>
      <c r="D16" s="296">
        <f>1200</f>
        <v>1200</v>
      </c>
      <c r="E16" s="297">
        <f>50.93</f>
        <v>50.93</v>
      </c>
      <c r="F16" s="297">
        <f t="shared" si="1"/>
        <v>78912.979199999987</v>
      </c>
      <c r="G16" s="298">
        <f t="shared" si="0"/>
        <v>2.9612957151887172E-2</v>
      </c>
      <c r="H16" s="298"/>
      <c r="I16" s="297">
        <f t="shared" si="2"/>
        <v>138546.19755033142</v>
      </c>
    </row>
    <row r="17" spans="1:9">
      <c r="A17" s="295"/>
      <c r="B17" s="292"/>
      <c r="C17" s="291"/>
      <c r="D17" s="303"/>
      <c r="E17" s="303"/>
      <c r="F17" s="299"/>
      <c r="G17" s="300"/>
      <c r="H17" s="300"/>
      <c r="I17" s="293"/>
    </row>
    <row r="18" spans="1:9">
      <c r="A18" s="291" t="s">
        <v>332</v>
      </c>
      <c r="B18" s="292" t="s">
        <v>393</v>
      </c>
      <c r="C18" s="291"/>
      <c r="D18" s="303"/>
      <c r="E18" s="303">
        <v>0</v>
      </c>
      <c r="F18" s="293">
        <f>SUM(F19:F26)</f>
        <v>1484319</v>
      </c>
      <c r="G18" s="294">
        <f>SUM(G19:G24)</f>
        <v>0.38597574475359581</v>
      </c>
      <c r="H18" s="294"/>
      <c r="I18" s="293">
        <f>F18*(1+$H$6)^10</f>
        <v>2605994.0390859102</v>
      </c>
    </row>
    <row r="19" spans="1:9">
      <c r="A19" s="295" t="s">
        <v>334</v>
      </c>
      <c r="B19" s="288" t="s">
        <v>8</v>
      </c>
      <c r="C19" s="295" t="s">
        <v>266</v>
      </c>
      <c r="D19" s="296">
        <v>1</v>
      </c>
      <c r="E19" s="297">
        <v>150000</v>
      </c>
      <c r="F19" s="297">
        <f t="shared" ref="F19:F26" si="3">(D19*E19)*1.2318</f>
        <v>184770</v>
      </c>
      <c r="G19" s="298">
        <f t="shared" ref="G19:G26" si="4">F19/$F$44</f>
        <v>6.9336960135376491E-2</v>
      </c>
      <c r="H19" s="298"/>
      <c r="I19" s="297">
        <f t="shared" si="2"/>
        <v>324397.59822646185</v>
      </c>
    </row>
    <row r="20" spans="1:9">
      <c r="A20" s="295" t="s">
        <v>397</v>
      </c>
      <c r="B20" s="288" t="s">
        <v>9</v>
      </c>
      <c r="C20" s="295" t="s">
        <v>266</v>
      </c>
      <c r="D20" s="296">
        <v>1</v>
      </c>
      <c r="E20" s="297">
        <v>70000</v>
      </c>
      <c r="F20" s="297">
        <f t="shared" si="3"/>
        <v>86226</v>
      </c>
      <c r="G20" s="298">
        <f t="shared" si="4"/>
        <v>3.2357248063175692E-2</v>
      </c>
      <c r="H20" s="298"/>
      <c r="I20" s="297">
        <f t="shared" si="2"/>
        <v>151385.54583901554</v>
      </c>
    </row>
    <row r="21" spans="1:9">
      <c r="A21" s="295" t="s">
        <v>398</v>
      </c>
      <c r="B21" s="288" t="s">
        <v>10</v>
      </c>
      <c r="C21" s="295" t="s">
        <v>266</v>
      </c>
      <c r="D21" s="296">
        <v>1</v>
      </c>
      <c r="E21" s="297">
        <v>80000</v>
      </c>
      <c r="F21" s="297">
        <f t="shared" si="3"/>
        <v>98544</v>
      </c>
      <c r="G21" s="298">
        <f t="shared" si="4"/>
        <v>3.6979712072200792E-2</v>
      </c>
      <c r="H21" s="298"/>
      <c r="I21" s="297">
        <f t="shared" si="2"/>
        <v>173012.05238744634</v>
      </c>
    </row>
    <row r="22" spans="1:9">
      <c r="A22" s="295" t="s">
        <v>399</v>
      </c>
      <c r="B22" s="288" t="s">
        <v>11</v>
      </c>
      <c r="C22" s="295" t="s">
        <v>266</v>
      </c>
      <c r="D22" s="296">
        <v>1</v>
      </c>
      <c r="E22" s="297">
        <v>120000</v>
      </c>
      <c r="F22" s="297">
        <f t="shared" si="3"/>
        <v>147816</v>
      </c>
      <c r="G22" s="298">
        <f t="shared" si="4"/>
        <v>5.5469568108301191E-2</v>
      </c>
      <c r="H22" s="298"/>
      <c r="I22" s="297">
        <f t="shared" si="2"/>
        <v>259518.07858116948</v>
      </c>
    </row>
    <row r="23" spans="1:9">
      <c r="A23" s="295" t="s">
        <v>400</v>
      </c>
      <c r="B23" s="288" t="s">
        <v>391</v>
      </c>
      <c r="C23" s="295" t="s">
        <v>266</v>
      </c>
      <c r="D23" s="296">
        <v>1</v>
      </c>
      <c r="E23" s="297">
        <v>265000</v>
      </c>
      <c r="F23" s="297">
        <f t="shared" si="3"/>
        <v>326427</v>
      </c>
      <c r="G23" s="298">
        <f t="shared" si="4"/>
        <v>0.12249529623916512</v>
      </c>
      <c r="H23" s="298"/>
      <c r="I23" s="297">
        <f t="shared" si="2"/>
        <v>573102.423533416</v>
      </c>
    </row>
    <row r="24" spans="1:9">
      <c r="A24" s="295" t="s">
        <v>401</v>
      </c>
      <c r="B24" s="288" t="s">
        <v>12</v>
      </c>
      <c r="C24" s="295" t="s">
        <v>266</v>
      </c>
      <c r="D24" s="296">
        <v>1</v>
      </c>
      <c r="E24" s="297">
        <v>150000</v>
      </c>
      <c r="F24" s="297">
        <f t="shared" si="3"/>
        <v>184770</v>
      </c>
      <c r="G24" s="298">
        <f t="shared" si="4"/>
        <v>6.9336960135376491E-2</v>
      </c>
      <c r="H24" s="298"/>
      <c r="I24" s="297">
        <f t="shared" si="2"/>
        <v>324397.59822646185</v>
      </c>
    </row>
    <row r="25" spans="1:9">
      <c r="A25" s="295" t="s">
        <v>601</v>
      </c>
      <c r="B25" s="288" t="s">
        <v>693</v>
      </c>
      <c r="C25" s="295" t="s">
        <v>266</v>
      </c>
      <c r="D25" s="296">
        <v>2</v>
      </c>
      <c r="E25" s="297">
        <v>35000</v>
      </c>
      <c r="F25" s="297">
        <f t="shared" si="3"/>
        <v>86226</v>
      </c>
      <c r="G25" s="298">
        <f t="shared" si="4"/>
        <v>3.2357248063175692E-2</v>
      </c>
      <c r="H25" s="298"/>
      <c r="I25" s="297">
        <f t="shared" si="2"/>
        <v>151385.54583901554</v>
      </c>
    </row>
    <row r="26" spans="1:9">
      <c r="A26" s="295" t="s">
        <v>602</v>
      </c>
      <c r="B26" s="288" t="s">
        <v>544</v>
      </c>
      <c r="C26" s="295" t="s">
        <v>266</v>
      </c>
      <c r="D26" s="296">
        <v>2</v>
      </c>
      <c r="E26" s="297">
        <v>150000</v>
      </c>
      <c r="F26" s="297">
        <f t="shared" si="3"/>
        <v>369540</v>
      </c>
      <c r="G26" s="298">
        <f t="shared" si="4"/>
        <v>0.13867392027075298</v>
      </c>
      <c r="H26" s="298"/>
      <c r="I26" s="297">
        <f t="shared" si="2"/>
        <v>648795.1964529237</v>
      </c>
    </row>
    <row r="27" spans="1:9">
      <c r="A27" s="295"/>
      <c r="B27" s="288"/>
      <c r="C27" s="295"/>
      <c r="D27" s="296"/>
      <c r="E27" s="297"/>
      <c r="F27" s="297"/>
      <c r="G27" s="298"/>
      <c r="H27" s="298"/>
      <c r="I27" s="297"/>
    </row>
    <row r="28" spans="1:9">
      <c r="A28" s="295"/>
      <c r="B28" s="288"/>
      <c r="C28" s="295"/>
      <c r="D28" s="304"/>
      <c r="E28" s="299"/>
      <c r="F28" s="299"/>
      <c r="G28" s="300"/>
      <c r="H28" s="300"/>
      <c r="I28" s="293"/>
    </row>
    <row r="29" spans="1:9">
      <c r="A29" s="291" t="s">
        <v>348</v>
      </c>
      <c r="B29" s="292" t="s">
        <v>442</v>
      </c>
      <c r="C29" s="291"/>
      <c r="D29" s="296"/>
      <c r="E29" s="300"/>
      <c r="F29" s="293">
        <f>SUM(F30:F34)</f>
        <v>19487.076000000001</v>
      </c>
      <c r="G29" s="294">
        <f>SUM(G30:G34)</f>
        <v>7.3127380622777065E-3</v>
      </c>
      <c r="H29" s="294"/>
      <c r="I29" s="293">
        <f t="shared" ref="I29:I34" si="5">F29*(1+$H$6)^10</f>
        <v>34213.13335961751</v>
      </c>
    </row>
    <row r="30" spans="1:9">
      <c r="A30" s="295" t="s">
        <v>349</v>
      </c>
      <c r="B30" s="288" t="s">
        <v>14</v>
      </c>
      <c r="C30" s="295" t="s">
        <v>266</v>
      </c>
      <c r="D30" s="296">
        <v>4</v>
      </c>
      <c r="E30" s="297">
        <v>2000</v>
      </c>
      <c r="F30" s="297">
        <f t="shared" ref="F30:F34" si="6">(D30*E30)*1.2318</f>
        <v>9854.4</v>
      </c>
      <c r="G30" s="298">
        <f>F30/$F$44</f>
        <v>3.6979712072200792E-3</v>
      </c>
      <c r="H30" s="298"/>
      <c r="I30" s="297">
        <f t="shared" si="5"/>
        <v>17301.205238744631</v>
      </c>
    </row>
    <row r="31" spans="1:9">
      <c r="A31" s="295" t="s">
        <v>351</v>
      </c>
      <c r="B31" s="288" t="s">
        <v>15</v>
      </c>
      <c r="C31" s="295" t="s">
        <v>266</v>
      </c>
      <c r="D31" s="296">
        <v>16</v>
      </c>
      <c r="E31" s="297">
        <v>120</v>
      </c>
      <c r="F31" s="297">
        <f t="shared" si="6"/>
        <v>2365.056</v>
      </c>
      <c r="G31" s="298">
        <f>F31/$F$44</f>
        <v>8.8751308973281909E-4</v>
      </c>
      <c r="H31" s="298"/>
      <c r="I31" s="297">
        <f t="shared" si="5"/>
        <v>4152.2892572987121</v>
      </c>
    </row>
    <row r="32" spans="1:9">
      <c r="A32" s="295" t="s">
        <v>352</v>
      </c>
      <c r="B32" s="288" t="s">
        <v>16</v>
      </c>
      <c r="C32" s="295" t="s">
        <v>266</v>
      </c>
      <c r="D32" s="296">
        <v>4</v>
      </c>
      <c r="E32" s="297">
        <v>250</v>
      </c>
      <c r="F32" s="297">
        <f t="shared" si="6"/>
        <v>1231.8</v>
      </c>
      <c r="G32" s="298">
        <f>F32/$F$44</f>
        <v>4.622464009025099E-4</v>
      </c>
      <c r="H32" s="298"/>
      <c r="I32" s="297">
        <f t="shared" si="5"/>
        <v>2162.6506548430789</v>
      </c>
    </row>
    <row r="33" spans="1:12">
      <c r="A33" s="295" t="s">
        <v>353</v>
      </c>
      <c r="B33" s="288" t="s">
        <v>17</v>
      </c>
      <c r="C33" s="295" t="s">
        <v>266</v>
      </c>
      <c r="D33" s="296">
        <v>2</v>
      </c>
      <c r="E33" s="297">
        <v>1250</v>
      </c>
      <c r="F33" s="297">
        <f t="shared" si="6"/>
        <v>3079.5</v>
      </c>
      <c r="G33" s="298">
        <f>F33/$F$44</f>
        <v>1.1556160022562747E-3</v>
      </c>
      <c r="H33" s="298"/>
      <c r="I33" s="297">
        <f t="shared" si="5"/>
        <v>5406.6266371076981</v>
      </c>
    </row>
    <row r="34" spans="1:12">
      <c r="A34" s="295" t="s">
        <v>354</v>
      </c>
      <c r="B34" s="288" t="s">
        <v>18</v>
      </c>
      <c r="C34" s="295" t="s">
        <v>266</v>
      </c>
      <c r="D34" s="296">
        <v>2</v>
      </c>
      <c r="E34" s="297">
        <v>1200</v>
      </c>
      <c r="F34" s="297">
        <f t="shared" si="6"/>
        <v>2956.32</v>
      </c>
      <c r="G34" s="298">
        <f>F34/$F$44</f>
        <v>1.1093913621660239E-3</v>
      </c>
      <c r="H34" s="298"/>
      <c r="I34" s="297">
        <f t="shared" si="5"/>
        <v>5190.3615716233899</v>
      </c>
    </row>
    <row r="35" spans="1:12">
      <c r="A35" s="295"/>
      <c r="B35" s="287"/>
      <c r="C35" s="306"/>
      <c r="D35" s="296"/>
      <c r="E35" s="287"/>
      <c r="F35" s="287"/>
      <c r="G35" s="287"/>
      <c r="H35" s="287"/>
      <c r="I35" s="293"/>
    </row>
    <row r="36" spans="1:12">
      <c r="A36" s="291" t="s">
        <v>355</v>
      </c>
      <c r="B36" s="292" t="s">
        <v>441</v>
      </c>
      <c r="C36" s="291"/>
      <c r="D36" s="296"/>
      <c r="E36" s="303"/>
      <c r="F36" s="293">
        <f>SUM(F37:F40)</f>
        <v>11455.740000000002</v>
      </c>
      <c r="G36" s="294">
        <f>SUM(G37:G40)</f>
        <v>4.298891528393343E-3</v>
      </c>
      <c r="H36" s="294"/>
      <c r="I36" s="293">
        <f>F36*(1+$H$6)^10</f>
        <v>20112.651090040639</v>
      </c>
    </row>
    <row r="37" spans="1:12">
      <c r="A37" s="295" t="s">
        <v>356</v>
      </c>
      <c r="B37" s="288" t="s">
        <v>21</v>
      </c>
      <c r="C37" s="295" t="s">
        <v>266</v>
      </c>
      <c r="D37" s="296">
        <f>4</f>
        <v>4</v>
      </c>
      <c r="E37" s="297">
        <v>1800</v>
      </c>
      <c r="F37" s="297">
        <f t="shared" ref="F37:F40" si="7">(D37*E37)*1.2318</f>
        <v>8868.9600000000009</v>
      </c>
      <c r="G37" s="298">
        <f>F37/$F$44</f>
        <v>3.3281740864980719E-3</v>
      </c>
      <c r="H37" s="298"/>
      <c r="I37" s="297">
        <f>F37*(1+$H$6)^10</f>
        <v>15571.084714870171</v>
      </c>
    </row>
    <row r="38" spans="1:12">
      <c r="A38" s="295" t="s">
        <v>357</v>
      </c>
      <c r="B38" s="288" t="s">
        <v>22</v>
      </c>
      <c r="C38" s="295" t="s">
        <v>266</v>
      </c>
      <c r="D38" s="296">
        <v>4</v>
      </c>
      <c r="E38" s="297">
        <v>150</v>
      </c>
      <c r="F38" s="297">
        <f t="shared" si="7"/>
        <v>739.08</v>
      </c>
      <c r="G38" s="298">
        <f>F38/$F$44</f>
        <v>2.7734784054150597E-4</v>
      </c>
      <c r="H38" s="298"/>
      <c r="I38" s="297">
        <f>F38*(1+$H$6)^10</f>
        <v>1297.5903929058475</v>
      </c>
    </row>
    <row r="39" spans="1:12">
      <c r="A39" s="295" t="s">
        <v>358</v>
      </c>
      <c r="B39" s="288" t="s">
        <v>23</v>
      </c>
      <c r="C39" s="295" t="s">
        <v>266</v>
      </c>
      <c r="D39" s="296">
        <v>2</v>
      </c>
      <c r="E39" s="297">
        <v>450</v>
      </c>
      <c r="F39" s="297">
        <f t="shared" si="7"/>
        <v>1108.6200000000001</v>
      </c>
      <c r="G39" s="298">
        <f>F39/$F$44</f>
        <v>4.1602176081225898E-4</v>
      </c>
      <c r="H39" s="298"/>
      <c r="I39" s="297">
        <f>F39*(1+$H$6)^10</f>
        <v>1946.3855893587713</v>
      </c>
    </row>
    <row r="40" spans="1:12">
      <c r="A40" s="295" t="s">
        <v>359</v>
      </c>
      <c r="B40" s="288" t="s">
        <v>24</v>
      </c>
      <c r="C40" s="295" t="s">
        <v>266</v>
      </c>
      <c r="D40" s="296">
        <v>4</v>
      </c>
      <c r="E40" s="297">
        <v>150</v>
      </c>
      <c r="F40" s="297">
        <f t="shared" si="7"/>
        <v>739.08</v>
      </c>
      <c r="G40" s="298">
        <f>F40/$F$44</f>
        <v>2.7734784054150597E-4</v>
      </c>
      <c r="H40" s="298"/>
      <c r="I40" s="297">
        <f>F40*(1+$H$6)^10</f>
        <v>1297.5903929058475</v>
      </c>
    </row>
    <row r="41" spans="1:12">
      <c r="A41" s="295"/>
      <c r="B41" s="288"/>
      <c r="C41" s="295"/>
      <c r="D41" s="296"/>
      <c r="E41" s="307"/>
      <c r="F41" s="307"/>
      <c r="G41" s="300"/>
      <c r="H41" s="300"/>
      <c r="I41" s="293"/>
    </row>
    <row r="42" spans="1:12">
      <c r="A42" s="287"/>
      <c r="B42" s="305"/>
      <c r="C42" s="314"/>
      <c r="D42" s="308"/>
      <c r="E42" s="308"/>
      <c r="F42" s="308"/>
      <c r="G42" s="308"/>
      <c r="H42" s="308"/>
      <c r="I42" s="308"/>
      <c r="J42" s="10"/>
    </row>
    <row r="43" spans="1:12">
      <c r="A43" s="287"/>
      <c r="B43" s="305"/>
      <c r="C43" s="314"/>
      <c r="D43" s="308"/>
      <c r="E43" s="308"/>
      <c r="F43" s="308"/>
      <c r="G43" s="308"/>
      <c r="H43" s="308"/>
      <c r="I43" s="308"/>
      <c r="J43" s="10"/>
    </row>
    <row r="44" spans="1:12">
      <c r="A44" s="287"/>
      <c r="B44" s="309" t="s">
        <v>28</v>
      </c>
      <c r="C44" s="309"/>
      <c r="D44" s="308"/>
      <c r="E44" s="308"/>
      <c r="F44" s="310">
        <f>F36+F29+F18+F8</f>
        <v>2664812.5276799998</v>
      </c>
      <c r="G44" s="311">
        <f>G36+G29+G18+G8</f>
        <v>0.82896883166607138</v>
      </c>
      <c r="H44" s="308"/>
      <c r="I44" s="293">
        <f>F44*(1+$H$6)^10</f>
        <v>4678566.7787150452</v>
      </c>
      <c r="K44" s="436"/>
    </row>
    <row r="45" spans="1:12">
      <c r="B45" s="12"/>
    </row>
    <row r="46" spans="1:12">
      <c r="K46" s="436"/>
      <c r="L46" s="80"/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topLeftCell="B1" zoomScale="114" workbookViewId="0">
      <selection activeCell="F23" sqref="F23"/>
    </sheetView>
  </sheetViews>
  <sheetFormatPr baseColWidth="10" defaultColWidth="9.1640625" defaultRowHeight="15"/>
  <cols>
    <col min="1" max="1" width="10.1640625" style="39" customWidth="1"/>
    <col min="2" max="2" width="43.83203125" style="39" bestFit="1" customWidth="1"/>
    <col min="3" max="3" width="14.5" style="39" customWidth="1"/>
    <col min="4" max="4" width="18" style="39" bestFit="1" customWidth="1"/>
    <col min="5" max="5" width="15.1640625" style="39" bestFit="1" customWidth="1"/>
    <col min="6" max="6" width="15" style="39" bestFit="1" customWidth="1"/>
    <col min="7" max="8" width="9.1640625" style="39"/>
    <col min="9" max="10" width="21.83203125" style="39" bestFit="1" customWidth="1"/>
    <col min="11" max="16384" width="9.1640625" style="39"/>
  </cols>
  <sheetData>
    <row r="1" spans="1:10">
      <c r="A1" s="287"/>
      <c r="B1" s="456" t="s">
        <v>0</v>
      </c>
      <c r="C1" s="456"/>
      <c r="D1" s="456"/>
      <c r="E1" s="456"/>
      <c r="F1" s="456"/>
      <c r="G1" s="287"/>
      <c r="H1" s="287"/>
      <c r="I1" s="287"/>
      <c r="J1" s="287"/>
    </row>
    <row r="2" spans="1:10">
      <c r="A2" s="295"/>
      <c r="B2" s="295"/>
      <c r="C2" s="295"/>
      <c r="D2" s="295"/>
      <c r="E2" s="295"/>
      <c r="F2" s="295"/>
      <c r="G2" s="287"/>
      <c r="H2" s="287"/>
      <c r="I2" s="287"/>
      <c r="J2" s="287"/>
    </row>
    <row r="3" spans="1:10">
      <c r="A3" s="295"/>
      <c r="B3" s="295"/>
      <c r="C3" s="295"/>
      <c r="D3" s="295"/>
      <c r="E3" s="295"/>
      <c r="F3" s="295"/>
      <c r="G3" s="287"/>
      <c r="H3" s="287"/>
      <c r="I3" s="287"/>
      <c r="J3" s="287"/>
    </row>
    <row r="4" spans="1:10">
      <c r="A4" s="295"/>
      <c r="B4" s="295"/>
      <c r="C4" s="295"/>
      <c r="D4" s="295"/>
      <c r="E4" s="295"/>
      <c r="F4" s="295"/>
      <c r="G4" s="300"/>
      <c r="H4" s="300"/>
      <c r="I4" s="300"/>
      <c r="J4" s="300"/>
    </row>
    <row r="5" spans="1:10">
      <c r="A5" s="289" t="s">
        <v>37</v>
      </c>
      <c r="B5" s="290" t="s">
        <v>251</v>
      </c>
      <c r="C5" s="290" t="s">
        <v>29</v>
      </c>
      <c r="D5" s="290" t="s">
        <v>39</v>
      </c>
      <c r="E5" s="290" t="s">
        <v>252</v>
      </c>
      <c r="F5" s="290" t="s">
        <v>253</v>
      </c>
      <c r="G5" s="290" t="s">
        <v>54</v>
      </c>
      <c r="H5" s="290" t="s">
        <v>444</v>
      </c>
      <c r="I5" s="290" t="s">
        <v>452</v>
      </c>
      <c r="J5" s="290" t="s">
        <v>453</v>
      </c>
    </row>
    <row r="6" spans="1:10">
      <c r="A6" s="295"/>
      <c r="B6" s="288"/>
      <c r="C6" s="295"/>
      <c r="D6" s="296"/>
      <c r="E6" s="297"/>
      <c r="F6" s="297"/>
      <c r="G6" s="298"/>
      <c r="H6" s="108">
        <v>0.10059999999999999</v>
      </c>
      <c r="I6" s="300"/>
      <c r="J6" s="300"/>
    </row>
    <row r="7" spans="1:10">
      <c r="A7" s="291" t="s">
        <v>254</v>
      </c>
      <c r="B7" s="292" t="s">
        <v>451</v>
      </c>
      <c r="C7" s="295"/>
      <c r="D7" s="296"/>
      <c r="E7" s="302"/>
      <c r="F7" s="293"/>
      <c r="G7" s="294"/>
      <c r="H7" s="300"/>
      <c r="I7" s="300"/>
      <c r="J7" s="300"/>
    </row>
    <row r="8" spans="1:10">
      <c r="A8" s="295" t="s">
        <v>41</v>
      </c>
      <c r="B8" s="292" t="s">
        <v>402</v>
      </c>
      <c r="C8" s="295"/>
      <c r="D8" s="296"/>
      <c r="E8" s="302"/>
      <c r="F8" s="293">
        <f>SUM(F9:F10)</f>
        <v>64410.822</v>
      </c>
      <c r="G8" s="294">
        <f>SUM(G9:G10)</f>
        <v>6.5420560747663545E-2</v>
      </c>
      <c r="H8" s="300"/>
      <c r="I8" s="293">
        <f>$F$8*(1+$H$6)^10</f>
        <v>167978.58800109135</v>
      </c>
      <c r="J8" s="293">
        <f>$F$8*(1+$H$6)^25</f>
        <v>707451.30731003138</v>
      </c>
    </row>
    <row r="9" spans="1:10">
      <c r="A9" s="295" t="s">
        <v>130</v>
      </c>
      <c r="B9" s="288" t="s">
        <v>406</v>
      </c>
      <c r="C9" s="295" t="s">
        <v>259</v>
      </c>
      <c r="D9" s="296">
        <v>4500</v>
      </c>
      <c r="E9" s="297">
        <v>1.23</v>
      </c>
      <c r="F9" s="297">
        <f t="shared" ref="F9:F10" si="0">(D9*E9)*1.2318</f>
        <v>6818.0129999999999</v>
      </c>
      <c r="G9" s="298">
        <f>F9/$F$16</f>
        <v>6.9248958450624917E-3</v>
      </c>
      <c r="H9" s="300"/>
      <c r="I9" s="300" t="s">
        <v>388</v>
      </c>
      <c r="J9" s="300"/>
    </row>
    <row r="10" spans="1:10">
      <c r="A10" s="295" t="s">
        <v>378</v>
      </c>
      <c r="B10" s="288" t="s">
        <v>407</v>
      </c>
      <c r="C10" s="295" t="s">
        <v>259</v>
      </c>
      <c r="D10" s="296">
        <v>4500</v>
      </c>
      <c r="E10" s="297">
        <v>10.39</v>
      </c>
      <c r="F10" s="297">
        <f t="shared" si="0"/>
        <v>57592.809000000001</v>
      </c>
      <c r="G10" s="298">
        <f>F10/$F$16</f>
        <v>5.8495664902601052E-2</v>
      </c>
      <c r="H10" s="300"/>
      <c r="I10" s="305" t="s">
        <v>341</v>
      </c>
      <c r="J10" s="300"/>
    </row>
    <row r="11" spans="1:10">
      <c r="A11" s="295"/>
      <c r="B11" s="292"/>
      <c r="C11" s="291"/>
      <c r="D11" s="303"/>
      <c r="E11" s="303"/>
      <c r="F11" s="299"/>
      <c r="G11" s="300"/>
      <c r="H11" s="300"/>
      <c r="I11" s="300"/>
      <c r="J11" s="300"/>
    </row>
    <row r="12" spans="1:10">
      <c r="A12" s="291" t="s">
        <v>332</v>
      </c>
      <c r="B12" s="292" t="s">
        <v>408</v>
      </c>
      <c r="C12" s="291"/>
      <c r="D12" s="303"/>
      <c r="E12" s="303">
        <v>0</v>
      </c>
      <c r="F12" s="293">
        <f>SUM(F13:F14)</f>
        <v>920154.60000000009</v>
      </c>
      <c r="G12" s="294">
        <f>SUM(G13:G14)</f>
        <v>0.93457943925233633</v>
      </c>
      <c r="H12" s="300"/>
      <c r="I12" s="300"/>
      <c r="J12" s="300"/>
    </row>
    <row r="13" spans="1:10">
      <c r="A13" s="295" t="s">
        <v>334</v>
      </c>
      <c r="B13" s="288" t="s">
        <v>404</v>
      </c>
      <c r="C13" s="295" t="s">
        <v>266</v>
      </c>
      <c r="D13" s="301">
        <f>1*4*45</f>
        <v>180</v>
      </c>
      <c r="E13" s="297">
        <v>1800</v>
      </c>
      <c r="F13" s="297">
        <f t="shared" ref="F13:F14" si="1">(D13*E13)*1.2318</f>
        <v>399103.2</v>
      </c>
      <c r="G13" s="298">
        <f>F13/$F$16</f>
        <v>0.40535975678414587</v>
      </c>
      <c r="H13" s="300"/>
      <c r="I13" s="300"/>
      <c r="J13" s="300"/>
    </row>
    <row r="14" spans="1:10">
      <c r="A14" s="295" t="s">
        <v>397</v>
      </c>
      <c r="B14" s="288" t="s">
        <v>403</v>
      </c>
      <c r="C14" s="295" t="s">
        <v>266</v>
      </c>
      <c r="D14" s="301">
        <f>D13</f>
        <v>180</v>
      </c>
      <c r="E14" s="297">
        <v>2350</v>
      </c>
      <c r="F14" s="297">
        <f t="shared" si="1"/>
        <v>521051.4</v>
      </c>
      <c r="G14" s="298">
        <f>F14/$F$16</f>
        <v>0.52921968246819051</v>
      </c>
      <c r="H14" s="300"/>
      <c r="I14" s="300"/>
      <c r="J14" s="300"/>
    </row>
    <row r="15" spans="1:10">
      <c r="A15" s="295"/>
      <c r="B15" s="288"/>
      <c r="C15" s="295"/>
      <c r="D15" s="304"/>
      <c r="E15" s="299"/>
      <c r="F15" s="299"/>
      <c r="G15" s="300"/>
      <c r="H15" s="300"/>
      <c r="I15" s="300"/>
      <c r="J15" s="300"/>
    </row>
    <row r="16" spans="1:10">
      <c r="A16" s="287"/>
      <c r="B16" s="309" t="s">
        <v>28</v>
      </c>
      <c r="C16" s="309"/>
      <c r="D16" s="308"/>
      <c r="E16" s="308"/>
      <c r="F16" s="310">
        <f>F12+F8</f>
        <v>984565.42200000014</v>
      </c>
      <c r="G16" s="311">
        <f>G12+G8</f>
        <v>0.99999999999999989</v>
      </c>
      <c r="H16" s="300"/>
      <c r="I16" s="300"/>
      <c r="J16" s="300"/>
    </row>
  </sheetData>
  <mergeCells count="1">
    <mergeCell ref="B1:F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78"/>
  <sheetViews>
    <sheetView zoomScaleNormal="70" workbookViewId="0">
      <selection activeCell="C3" sqref="C3"/>
    </sheetView>
  </sheetViews>
  <sheetFormatPr baseColWidth="10" defaultColWidth="8.83203125" defaultRowHeight="15"/>
  <cols>
    <col min="2" max="2" width="26.5" bestFit="1" customWidth="1"/>
    <col min="3" max="3" width="12.5" bestFit="1" customWidth="1"/>
    <col min="4" max="4" width="14.83203125" bestFit="1" customWidth="1"/>
    <col min="5" max="5" width="12.83203125" bestFit="1" customWidth="1"/>
    <col min="6" max="6" width="23.83203125" bestFit="1" customWidth="1"/>
    <col min="7" max="7" width="17.5" customWidth="1"/>
    <col min="8" max="8" width="16.1640625" style="39" customWidth="1"/>
    <col min="9" max="9" width="17.6640625" bestFit="1" customWidth="1"/>
    <col min="10" max="10" width="18.83203125" customWidth="1"/>
    <col min="11" max="11" width="11.83203125" customWidth="1"/>
    <col min="17" max="17" width="20" bestFit="1" customWidth="1"/>
    <col min="18" max="18" width="36" bestFit="1" customWidth="1"/>
  </cols>
  <sheetData>
    <row r="1" spans="1:24" ht="16" thickBot="1">
      <c r="A1" s="465" t="s">
        <v>48</v>
      </c>
      <c r="B1" s="465"/>
      <c r="C1" s="465"/>
      <c r="D1" s="465"/>
    </row>
    <row r="2" spans="1:24" ht="14.25" customHeight="1">
      <c r="A2" s="27" t="s">
        <v>37</v>
      </c>
      <c r="B2" s="28" t="s">
        <v>38</v>
      </c>
      <c r="C2" s="29" t="s">
        <v>39</v>
      </c>
      <c r="D2" s="29" t="s">
        <v>29</v>
      </c>
    </row>
    <row r="3" spans="1:24">
      <c r="A3" s="25">
        <v>1</v>
      </c>
      <c r="B3" s="26" t="s">
        <v>47</v>
      </c>
      <c r="C3" s="90">
        <v>309277</v>
      </c>
      <c r="D3" s="26" t="s">
        <v>40</v>
      </c>
      <c r="E3" t="s">
        <v>36</v>
      </c>
    </row>
    <row r="4" spans="1:24">
      <c r="A4" s="25" t="s">
        <v>41</v>
      </c>
      <c r="B4" s="26" t="s">
        <v>42</v>
      </c>
      <c r="C4" s="89">
        <v>0.85</v>
      </c>
      <c r="D4" s="26" t="s">
        <v>43</v>
      </c>
      <c r="E4" t="s">
        <v>36</v>
      </c>
    </row>
    <row r="5" spans="1:24">
      <c r="A5" s="25" t="s">
        <v>44</v>
      </c>
      <c r="B5" s="26" t="s">
        <v>45</v>
      </c>
      <c r="C5" s="24">
        <f>C3*C4/1000</f>
        <v>262.88544999999999</v>
      </c>
      <c r="D5" s="26" t="s">
        <v>46</v>
      </c>
      <c r="E5" t="s">
        <v>36</v>
      </c>
    </row>
    <row r="6" spans="1:24">
      <c r="A6" s="6">
        <v>1.3</v>
      </c>
      <c r="B6" s="172" t="s">
        <v>244</v>
      </c>
      <c r="C6" s="171">
        <f>C5*365/300</f>
        <v>319.84396416666664</v>
      </c>
      <c r="D6" s="172" t="s">
        <v>245</v>
      </c>
      <c r="E6" t="s">
        <v>246</v>
      </c>
    </row>
    <row r="7" spans="1:24" s="39" customFormat="1"/>
    <row r="8" spans="1:24" ht="16" thickBot="1">
      <c r="A8" s="468" t="s">
        <v>81</v>
      </c>
      <c r="B8" s="468"/>
      <c r="C8" s="468"/>
      <c r="D8" s="468"/>
      <c r="E8" s="468"/>
      <c r="F8" s="468"/>
    </row>
    <row r="9" spans="1:24" ht="16" thickBot="1">
      <c r="A9" s="53" t="s">
        <v>37</v>
      </c>
      <c r="B9" s="54" t="s">
        <v>53</v>
      </c>
      <c r="C9" s="55" t="s">
        <v>54</v>
      </c>
      <c r="D9" s="477" t="s">
        <v>55</v>
      </c>
      <c r="E9" s="478"/>
      <c r="F9" s="479"/>
      <c r="G9" s="480" t="s">
        <v>250</v>
      </c>
      <c r="H9" s="481"/>
      <c r="I9" s="481"/>
      <c r="J9" s="482"/>
      <c r="Q9" t="s">
        <v>112</v>
      </c>
      <c r="R9" t="s">
        <v>113</v>
      </c>
      <c r="V9" s="40"/>
      <c r="W9" s="40"/>
      <c r="X9" s="40"/>
    </row>
    <row r="10" spans="1:24" ht="16" thickBot="1">
      <c r="A10" s="51"/>
      <c r="B10" s="42"/>
      <c r="C10" s="56"/>
      <c r="D10" s="41" t="s">
        <v>56</v>
      </c>
      <c r="E10" s="6" t="s">
        <v>82</v>
      </c>
      <c r="F10" s="43" t="s">
        <v>57</v>
      </c>
      <c r="G10" s="177" t="s">
        <v>83</v>
      </c>
      <c r="H10" s="6" t="s">
        <v>86</v>
      </c>
      <c r="I10" s="178" t="s">
        <v>84</v>
      </c>
      <c r="J10" s="178" t="s">
        <v>85</v>
      </c>
      <c r="Q10" s="80">
        <v>0.31900000000000001</v>
      </c>
      <c r="R10" s="80">
        <v>0.24479999999999999</v>
      </c>
      <c r="V10" s="40"/>
      <c r="W10" s="173"/>
      <c r="X10" s="40"/>
    </row>
    <row r="11" spans="1:24" ht="16" thickBot="1">
      <c r="A11" s="44">
        <v>1</v>
      </c>
      <c r="B11" s="45" t="s">
        <v>58</v>
      </c>
      <c r="C11" s="38">
        <f>$C$14*0.438</f>
        <v>4.4019000000000003E-2</v>
      </c>
      <c r="D11" s="46">
        <f>$C$6*C11</f>
        <v>14.0792114586525</v>
      </c>
      <c r="E11" s="46">
        <f>F11/12</f>
        <v>351.98028646631252</v>
      </c>
      <c r="F11" s="46">
        <f>$C$5*365*C11</f>
        <v>4223.7634375957505</v>
      </c>
      <c r="G11" s="179">
        <v>654</v>
      </c>
      <c r="H11" s="179">
        <f>G11*D11</f>
        <v>9207.8042939587358</v>
      </c>
      <c r="I11" s="179">
        <f>G11*E11</f>
        <v>230195.10734896839</v>
      </c>
      <c r="J11" s="179">
        <f>G11*F11</f>
        <v>2762341.2881876207</v>
      </c>
      <c r="V11" s="40"/>
      <c r="W11" s="173"/>
      <c r="X11" s="40"/>
    </row>
    <row r="12" spans="1:24" ht="16" thickBot="1">
      <c r="A12" s="47">
        <v>2</v>
      </c>
      <c r="B12" s="48" t="s">
        <v>59</v>
      </c>
      <c r="C12" s="38">
        <f>$C$14*0.505</f>
        <v>5.0752500000000006E-2</v>
      </c>
      <c r="D12" s="46">
        <f t="shared" ref="D12:D37" si="0">$C$6*C12</f>
        <v>16.23288079136875</v>
      </c>
      <c r="E12" s="46">
        <f t="shared" ref="E12:E37" si="1">F12/12</f>
        <v>405.82201978421881</v>
      </c>
      <c r="F12" s="46">
        <f t="shared" ref="F12:F37" si="2">$C$5*365*C12</f>
        <v>4869.8642374106257</v>
      </c>
      <c r="G12" s="179">
        <v>298</v>
      </c>
      <c r="H12" s="179">
        <f t="shared" ref="H12:H36" si="3">G12*D12</f>
        <v>4837.3984758278875</v>
      </c>
      <c r="I12" s="179">
        <f t="shared" ref="I12:I36" si="4">G12*E12</f>
        <v>120934.96189569721</v>
      </c>
      <c r="J12" s="179">
        <f t="shared" ref="J12:J36" si="5">G12*F12</f>
        <v>1451219.5427483665</v>
      </c>
      <c r="P12" s="474" t="s">
        <v>114</v>
      </c>
      <c r="Q12" s="475"/>
      <c r="R12" s="476"/>
      <c r="V12" s="40"/>
      <c r="W12" s="173"/>
      <c r="X12" s="40"/>
    </row>
    <row r="13" spans="1:24" s="22" customFormat="1" ht="16" thickBot="1">
      <c r="A13" s="47">
        <v>3</v>
      </c>
      <c r="B13" s="48" t="s">
        <v>60</v>
      </c>
      <c r="C13" s="38">
        <f>$C$14*0.0559</f>
        <v>5.61795E-3</v>
      </c>
      <c r="D13" s="46">
        <f t="shared" si="0"/>
        <v>1.7968673984901249</v>
      </c>
      <c r="E13" s="46">
        <f t="shared" si="1"/>
        <v>44.921684962253124</v>
      </c>
      <c r="F13" s="46">
        <f t="shared" si="2"/>
        <v>539.06021954703749</v>
      </c>
      <c r="G13" s="179">
        <v>298</v>
      </c>
      <c r="H13" s="179">
        <f t="shared" si="3"/>
        <v>535.46648475005725</v>
      </c>
      <c r="I13" s="179">
        <f t="shared" si="4"/>
        <v>13386.66211875143</v>
      </c>
      <c r="J13" s="179">
        <f t="shared" si="5"/>
        <v>160639.94542501718</v>
      </c>
      <c r="P13" s="81" t="s">
        <v>248</v>
      </c>
      <c r="Q13" s="81" t="s">
        <v>109</v>
      </c>
      <c r="R13" s="78" t="s">
        <v>111</v>
      </c>
      <c r="V13" s="40"/>
      <c r="W13" s="174"/>
      <c r="X13" s="40"/>
    </row>
    <row r="14" spans="1:24" ht="16" thickBot="1">
      <c r="A14" s="47"/>
      <c r="B14" s="49" t="s">
        <v>61</v>
      </c>
      <c r="C14" s="2">
        <v>0.10050000000000001</v>
      </c>
      <c r="D14" s="50">
        <f t="shared" si="0"/>
        <v>32.144318398750002</v>
      </c>
      <c r="E14" s="50">
        <f t="shared" si="1"/>
        <v>803.60795996875004</v>
      </c>
      <c r="F14" s="50">
        <f t="shared" si="2"/>
        <v>9643.2955196250005</v>
      </c>
      <c r="G14" s="180">
        <f>(G11*C11+G12*C12+G13*C13)/C14</f>
        <v>453.60020000000003</v>
      </c>
      <c r="H14" s="180">
        <f t="shared" ref="H14" si="6">G14*D14</f>
        <v>14580.669254536682</v>
      </c>
      <c r="I14" s="180">
        <f t="shared" ref="I14" si="7">G14*E14</f>
        <v>364516.73136341706</v>
      </c>
      <c r="J14" s="180">
        <f t="shared" ref="J14" si="8">G14*F14</f>
        <v>4374200.7763610044</v>
      </c>
      <c r="P14" s="76" t="s">
        <v>104</v>
      </c>
      <c r="Q14" s="79">
        <v>2.3E-2</v>
      </c>
      <c r="R14" s="170">
        <f t="shared" ref="R14:R19" si="9">Q14*$R$10/$Q$10</f>
        <v>1.765015673981191E-2</v>
      </c>
      <c r="V14" s="40"/>
      <c r="W14" s="173"/>
      <c r="X14" s="40"/>
    </row>
    <row r="15" spans="1:24" s="22" customFormat="1" ht="16" thickBot="1">
      <c r="A15" s="47">
        <v>1</v>
      </c>
      <c r="B15" s="48" t="s">
        <v>249</v>
      </c>
      <c r="C15" s="38">
        <v>3.5299999999999998E-2</v>
      </c>
      <c r="D15" s="46">
        <f t="shared" si="0"/>
        <v>11.290491935083331</v>
      </c>
      <c r="E15" s="46">
        <f t="shared" si="1"/>
        <v>282.26229837708331</v>
      </c>
      <c r="F15" s="46">
        <f t="shared" si="2"/>
        <v>3387.1475805249997</v>
      </c>
      <c r="G15" s="179">
        <v>715</v>
      </c>
      <c r="H15" s="179">
        <f t="shared" si="3"/>
        <v>8072.7017335845821</v>
      </c>
      <c r="I15" s="179">
        <f t="shared" si="4"/>
        <v>201817.54333961458</v>
      </c>
      <c r="J15" s="179">
        <f t="shared" si="5"/>
        <v>2421810.5200753747</v>
      </c>
      <c r="P15" s="77" t="s">
        <v>105</v>
      </c>
      <c r="Q15" s="79">
        <v>6.0000000000000001E-3</v>
      </c>
      <c r="R15" s="170">
        <f t="shared" si="9"/>
        <v>4.6043887147335424E-3</v>
      </c>
      <c r="V15" s="40"/>
      <c r="W15" s="173"/>
      <c r="X15" s="40"/>
    </row>
    <row r="16" spans="1:24" ht="61" thickBot="1">
      <c r="A16" s="47">
        <v>2</v>
      </c>
      <c r="B16" s="48" t="s">
        <v>103</v>
      </c>
      <c r="C16" s="38"/>
      <c r="D16" s="46">
        <f t="shared" si="0"/>
        <v>0</v>
      </c>
      <c r="E16" s="46">
        <f t="shared" si="1"/>
        <v>0</v>
      </c>
      <c r="F16" s="46">
        <f t="shared" si="2"/>
        <v>0</v>
      </c>
      <c r="G16" s="179"/>
      <c r="H16" s="179">
        <f t="shared" si="3"/>
        <v>0</v>
      </c>
      <c r="I16" s="179">
        <f t="shared" si="4"/>
        <v>0</v>
      </c>
      <c r="J16" s="179">
        <f t="shared" si="5"/>
        <v>0</v>
      </c>
      <c r="P16" s="77" t="s">
        <v>106</v>
      </c>
      <c r="Q16" s="79">
        <v>0.13100000000000001</v>
      </c>
      <c r="R16" s="170">
        <f t="shared" si="9"/>
        <v>0.10052915360501567</v>
      </c>
      <c r="V16" s="40"/>
      <c r="W16" s="173"/>
      <c r="X16" s="40"/>
    </row>
    <row r="17" spans="1:24" ht="31" thickBot="1">
      <c r="A17" s="47">
        <v>3</v>
      </c>
      <c r="B17" s="48" t="s">
        <v>62</v>
      </c>
      <c r="C17" s="38">
        <v>6.83E-2</v>
      </c>
      <c r="D17" s="46">
        <f t="shared" si="0"/>
        <v>21.845342752583331</v>
      </c>
      <c r="E17" s="46">
        <f t="shared" si="1"/>
        <v>546.13356881458333</v>
      </c>
      <c r="F17" s="46">
        <f t="shared" si="2"/>
        <v>6553.6028257749995</v>
      </c>
      <c r="G17" s="179">
        <v>1200</v>
      </c>
      <c r="H17" s="179">
        <f t="shared" si="3"/>
        <v>26214.411303099998</v>
      </c>
      <c r="I17" s="179">
        <f t="shared" si="4"/>
        <v>655360.28257749998</v>
      </c>
      <c r="J17" s="179">
        <f t="shared" si="5"/>
        <v>7864323.3909299998</v>
      </c>
      <c r="P17" s="77" t="s">
        <v>107</v>
      </c>
      <c r="Q17" s="79">
        <v>8.8999999999999996E-2</v>
      </c>
      <c r="R17" s="170">
        <f t="shared" si="9"/>
        <v>6.8298432601880871E-2</v>
      </c>
      <c r="V17" s="40"/>
      <c r="W17" s="174"/>
      <c r="X17" s="40"/>
    </row>
    <row r="18" spans="1:24" ht="31" thickBot="1">
      <c r="A18" s="47"/>
      <c r="B18" s="49" t="s">
        <v>63</v>
      </c>
      <c r="C18" s="2">
        <f>SUM(C15:C17)</f>
        <v>0.1036</v>
      </c>
      <c r="D18" s="50">
        <f t="shared" si="0"/>
        <v>33.135834687666666</v>
      </c>
      <c r="E18" s="50">
        <f t="shared" si="1"/>
        <v>828.39586719166664</v>
      </c>
      <c r="F18" s="50">
        <f t="shared" si="2"/>
        <v>9940.7504062999997</v>
      </c>
      <c r="G18" s="180">
        <f>(G15*C15+G16*C16+G17*C17)/C18</f>
        <v>1034.7442084942086</v>
      </c>
      <c r="H18" s="180">
        <f t="shared" ref="H18" si="10">G18*D18</f>
        <v>34287.113036684583</v>
      </c>
      <c r="I18" s="180">
        <f t="shared" ref="I18" si="11">G18*E18</f>
        <v>857177.82591711462</v>
      </c>
      <c r="J18" s="180">
        <f t="shared" ref="J18" si="12">G18*F18</f>
        <v>10286133.911005376</v>
      </c>
      <c r="P18" s="77" t="s">
        <v>108</v>
      </c>
      <c r="Q18" s="79">
        <v>4.5999999999999999E-2</v>
      </c>
      <c r="R18" s="170">
        <f t="shared" si="9"/>
        <v>3.530031347962382E-2</v>
      </c>
      <c r="V18" s="40"/>
      <c r="W18" s="173"/>
      <c r="X18" s="40"/>
    </row>
    <row r="19" spans="1:24" ht="16" thickBot="1">
      <c r="A19" s="31">
        <v>1</v>
      </c>
      <c r="B19" s="32" t="s">
        <v>105</v>
      </c>
      <c r="C19" s="38">
        <v>4.5999999999999999E-3</v>
      </c>
      <c r="D19" s="30">
        <f t="shared" si="0"/>
        <v>1.4712822351666666</v>
      </c>
      <c r="E19" s="46">
        <f t="shared" si="1"/>
        <v>36.782055879166663</v>
      </c>
      <c r="F19" s="46">
        <f t="shared" si="2"/>
        <v>441.38467054999995</v>
      </c>
      <c r="G19" s="179">
        <v>4150</v>
      </c>
      <c r="H19" s="179">
        <f t="shared" si="3"/>
        <v>6105.8212759416665</v>
      </c>
      <c r="I19" s="179">
        <f t="shared" si="4"/>
        <v>152645.53189854164</v>
      </c>
      <c r="J19" s="179">
        <f t="shared" si="5"/>
        <v>1831746.3827824998</v>
      </c>
      <c r="P19" s="77" t="s">
        <v>110</v>
      </c>
      <c r="Q19" s="79">
        <v>2.4E-2</v>
      </c>
      <c r="R19" s="170">
        <f t="shared" si="9"/>
        <v>1.8417554858934169E-2</v>
      </c>
      <c r="V19" s="40"/>
      <c r="W19" s="173"/>
      <c r="X19" s="40"/>
    </row>
    <row r="20" spans="1:24" ht="16" thickBot="1">
      <c r="A20" s="31">
        <v>2</v>
      </c>
      <c r="B20" s="32" t="s">
        <v>104</v>
      </c>
      <c r="C20" s="38">
        <v>1.77E-2</v>
      </c>
      <c r="D20" s="30">
        <f t="shared" si="0"/>
        <v>5.6612381657499995</v>
      </c>
      <c r="E20" s="46">
        <f t="shared" si="1"/>
        <v>141.53095414374999</v>
      </c>
      <c r="F20" s="46">
        <f t="shared" si="2"/>
        <v>1698.371449725</v>
      </c>
      <c r="G20" s="179">
        <v>120</v>
      </c>
      <c r="H20" s="179">
        <f t="shared" si="3"/>
        <v>679.34857988999988</v>
      </c>
      <c r="I20" s="179">
        <f t="shared" si="4"/>
        <v>16983.714497249999</v>
      </c>
      <c r="J20" s="179">
        <f t="shared" si="5"/>
        <v>203804.573967</v>
      </c>
      <c r="P20" s="82" t="s">
        <v>30</v>
      </c>
      <c r="Q20" s="93">
        <f>SUM(Q14:Q19)</f>
        <v>0.31900000000000001</v>
      </c>
      <c r="R20" s="94">
        <f>SUM(R14:R19)</f>
        <v>0.24479999999999999</v>
      </c>
      <c r="V20" s="40"/>
      <c r="W20" s="174"/>
      <c r="X20" s="40"/>
    </row>
    <row r="21" spans="1:24">
      <c r="A21" s="31"/>
      <c r="B21" s="33" t="s">
        <v>70</v>
      </c>
      <c r="C21" s="2">
        <f>SUM(C19:C20)</f>
        <v>2.23E-2</v>
      </c>
      <c r="D21" s="34">
        <f t="shared" si="0"/>
        <v>7.1325204009166665</v>
      </c>
      <c r="E21" s="50">
        <f t="shared" si="1"/>
        <v>178.31301002291664</v>
      </c>
      <c r="F21" s="50">
        <f t="shared" si="2"/>
        <v>2139.7561202749998</v>
      </c>
      <c r="G21" s="180">
        <f>(G19*C19+G20*C20)/C21</f>
        <v>951.30044843049325</v>
      </c>
      <c r="H21" s="180">
        <f t="shared" ref="H21" si="13">G21*D21</f>
        <v>6785.1698558316666</v>
      </c>
      <c r="I21" s="180">
        <f t="shared" ref="I21" si="14">G21*E21</f>
        <v>169629.24639579165</v>
      </c>
      <c r="J21" s="180">
        <f t="shared" ref="J21" si="15">G21*F21</f>
        <v>2035550.9567494998</v>
      </c>
      <c r="V21" s="40"/>
      <c r="W21" s="173"/>
      <c r="X21" s="40"/>
    </row>
    <row r="22" spans="1:24">
      <c r="A22" s="31">
        <v>1</v>
      </c>
      <c r="B22" s="32" t="s">
        <v>71</v>
      </c>
      <c r="C22" s="38"/>
      <c r="D22" s="30">
        <f t="shared" si="0"/>
        <v>0</v>
      </c>
      <c r="E22" s="46">
        <f t="shared" si="1"/>
        <v>0</v>
      </c>
      <c r="F22" s="46">
        <f t="shared" si="2"/>
        <v>0</v>
      </c>
      <c r="G22" s="179"/>
      <c r="H22" s="179">
        <f t="shared" si="3"/>
        <v>0</v>
      </c>
      <c r="I22" s="179">
        <f t="shared" si="4"/>
        <v>0</v>
      </c>
      <c r="J22" s="179">
        <f t="shared" si="5"/>
        <v>0</v>
      </c>
      <c r="V22" s="40"/>
      <c r="W22" s="173"/>
      <c r="X22" s="40"/>
    </row>
    <row r="23" spans="1:24">
      <c r="A23" s="31">
        <v>2</v>
      </c>
      <c r="B23" s="32" t="s">
        <v>72</v>
      </c>
      <c r="C23" s="38"/>
      <c r="D23" s="30">
        <f t="shared" si="0"/>
        <v>0</v>
      </c>
      <c r="E23" s="46">
        <f t="shared" si="1"/>
        <v>0</v>
      </c>
      <c r="F23" s="46">
        <f t="shared" si="2"/>
        <v>0</v>
      </c>
      <c r="G23" s="179"/>
      <c r="H23" s="179">
        <f t="shared" si="3"/>
        <v>0</v>
      </c>
      <c r="I23" s="179">
        <f t="shared" si="4"/>
        <v>0</v>
      </c>
      <c r="J23" s="179">
        <f t="shared" si="5"/>
        <v>0</v>
      </c>
      <c r="V23" s="40"/>
      <c r="W23" s="173"/>
      <c r="X23" s="40"/>
    </row>
    <row r="24" spans="1:24">
      <c r="A24" s="31">
        <v>3</v>
      </c>
      <c r="B24" s="32" t="s">
        <v>73</v>
      </c>
      <c r="C24" s="38"/>
      <c r="D24" s="30">
        <f t="shared" si="0"/>
        <v>0</v>
      </c>
      <c r="E24" s="46">
        <f t="shared" si="1"/>
        <v>0</v>
      </c>
      <c r="F24" s="46">
        <f t="shared" si="2"/>
        <v>0</v>
      </c>
      <c r="G24" s="179"/>
      <c r="H24" s="179">
        <f t="shared" si="3"/>
        <v>0</v>
      </c>
      <c r="I24" s="179">
        <f t="shared" si="4"/>
        <v>0</v>
      </c>
      <c r="J24" s="179">
        <f t="shared" si="5"/>
        <v>0</v>
      </c>
      <c r="V24" s="40"/>
      <c r="W24" s="173"/>
      <c r="X24" s="40"/>
    </row>
    <row r="25" spans="1:24">
      <c r="A25" s="31">
        <v>4</v>
      </c>
      <c r="B25" s="32" t="s">
        <v>74</v>
      </c>
      <c r="C25" s="38">
        <v>1.84E-2</v>
      </c>
      <c r="D25" s="30">
        <f t="shared" si="0"/>
        <v>5.8851289406666663</v>
      </c>
      <c r="E25" s="46">
        <f t="shared" si="1"/>
        <v>147.12822351666665</v>
      </c>
      <c r="F25" s="46">
        <f t="shared" si="2"/>
        <v>1765.5386821999998</v>
      </c>
      <c r="G25" s="179">
        <v>0</v>
      </c>
      <c r="H25" s="179">
        <f t="shared" si="3"/>
        <v>0</v>
      </c>
      <c r="I25" s="179">
        <f t="shared" si="4"/>
        <v>0</v>
      </c>
      <c r="J25" s="179">
        <f t="shared" si="5"/>
        <v>0</v>
      </c>
      <c r="V25" s="40"/>
      <c r="W25" s="173"/>
      <c r="X25" s="40"/>
    </row>
    <row r="26" spans="1:24">
      <c r="A26" s="31">
        <v>5</v>
      </c>
      <c r="B26" s="32" t="s">
        <v>75</v>
      </c>
      <c r="C26" s="38"/>
      <c r="D26" s="30">
        <f t="shared" si="0"/>
        <v>0</v>
      </c>
      <c r="E26" s="46">
        <f t="shared" si="1"/>
        <v>0</v>
      </c>
      <c r="F26" s="46">
        <f t="shared" si="2"/>
        <v>0</v>
      </c>
      <c r="G26" s="179">
        <v>0</v>
      </c>
      <c r="H26" s="179">
        <f t="shared" si="3"/>
        <v>0</v>
      </c>
      <c r="I26" s="179">
        <f t="shared" si="4"/>
        <v>0</v>
      </c>
      <c r="J26" s="179">
        <f t="shared" si="5"/>
        <v>0</v>
      </c>
      <c r="V26" s="40"/>
      <c r="W26" s="174"/>
      <c r="X26" s="40"/>
    </row>
    <row r="27" spans="1:24">
      <c r="A27" s="31"/>
      <c r="B27" s="33" t="s">
        <v>76</v>
      </c>
      <c r="C27" s="2">
        <f>SUM(C22:C26)</f>
        <v>1.84E-2</v>
      </c>
      <c r="D27" s="34">
        <f t="shared" si="0"/>
        <v>5.8851289406666663</v>
      </c>
      <c r="E27" s="50">
        <f t="shared" si="1"/>
        <v>147.12822351666665</v>
      </c>
      <c r="F27" s="50">
        <f t="shared" si="2"/>
        <v>1765.5386821999998</v>
      </c>
      <c r="G27" s="180">
        <f>(G22*C22+G23*C23+G24*C24+G25*C25+G26*C26)/C27</f>
        <v>0</v>
      </c>
      <c r="H27" s="180">
        <f t="shared" ref="H27" si="16">G27*D27</f>
        <v>0</v>
      </c>
      <c r="I27" s="180">
        <f t="shared" ref="I27" si="17">G27*E27</f>
        <v>0</v>
      </c>
      <c r="J27" s="180">
        <f t="shared" ref="J27" si="18">G27*F27</f>
        <v>0</v>
      </c>
      <c r="V27" s="40"/>
      <c r="W27" s="173"/>
      <c r="X27" s="40"/>
    </row>
    <row r="28" spans="1:24">
      <c r="A28" s="31">
        <v>1</v>
      </c>
      <c r="B28" s="32" t="s">
        <v>77</v>
      </c>
      <c r="C28" s="38"/>
      <c r="D28" s="30">
        <f t="shared" si="0"/>
        <v>0</v>
      </c>
      <c r="E28" s="46">
        <f t="shared" si="1"/>
        <v>0</v>
      </c>
      <c r="F28" s="46">
        <f t="shared" si="2"/>
        <v>0</v>
      </c>
      <c r="G28" s="179"/>
      <c r="H28" s="179">
        <f t="shared" si="3"/>
        <v>0</v>
      </c>
      <c r="I28" s="179">
        <f t="shared" si="4"/>
        <v>0</v>
      </c>
      <c r="J28" s="179">
        <f t="shared" si="5"/>
        <v>0</v>
      </c>
      <c r="V28" s="40"/>
      <c r="W28" s="173"/>
      <c r="X28" s="40"/>
    </row>
    <row r="29" spans="1:24">
      <c r="A29" s="31">
        <v>2</v>
      </c>
      <c r="B29" s="32" t="s">
        <v>78</v>
      </c>
      <c r="C29" s="38"/>
      <c r="D29" s="30">
        <f t="shared" si="0"/>
        <v>0</v>
      </c>
      <c r="E29" s="46">
        <f t="shared" si="1"/>
        <v>0</v>
      </c>
      <c r="F29" s="46">
        <f t="shared" si="2"/>
        <v>0</v>
      </c>
      <c r="G29" s="179"/>
      <c r="H29" s="179">
        <f t="shared" si="3"/>
        <v>0</v>
      </c>
      <c r="I29" s="179">
        <f t="shared" si="4"/>
        <v>0</v>
      </c>
      <c r="J29" s="179">
        <f t="shared" si="5"/>
        <v>0</v>
      </c>
      <c r="V29" s="40"/>
      <c r="W29" s="175"/>
      <c r="X29" s="40"/>
    </row>
    <row r="30" spans="1:24">
      <c r="A30" s="31"/>
      <c r="B30" s="33" t="s">
        <v>79</v>
      </c>
      <c r="C30" s="2"/>
      <c r="D30" s="34">
        <f t="shared" si="0"/>
        <v>0</v>
      </c>
      <c r="E30" s="50">
        <f t="shared" si="1"/>
        <v>0</v>
      </c>
      <c r="F30" s="50">
        <f t="shared" si="2"/>
        <v>0</v>
      </c>
      <c r="G30" s="180"/>
      <c r="H30" s="180">
        <f t="shared" ref="H30:H31" si="19">G30*D30</f>
        <v>0</v>
      </c>
      <c r="I30" s="180">
        <f t="shared" ref="I30:I31" si="20">G30*E30</f>
        <v>0</v>
      </c>
      <c r="J30" s="180">
        <f t="shared" ref="J30:J31" si="21">G30*F30</f>
        <v>0</v>
      </c>
      <c r="V30" s="40"/>
      <c r="W30" s="173"/>
      <c r="X30" s="40"/>
    </row>
    <row r="31" spans="1:24" s="39" customFormat="1">
      <c r="A31" s="47"/>
      <c r="B31" s="49" t="s">
        <v>100</v>
      </c>
      <c r="C31" s="2">
        <f>SUM(C14,C18,C21,C27)</f>
        <v>0.24479999999999999</v>
      </c>
      <c r="D31" s="50">
        <f t="shared" si="0"/>
        <v>78.297802427999983</v>
      </c>
      <c r="E31" s="50">
        <f t="shared" si="1"/>
        <v>1957.4450606999999</v>
      </c>
      <c r="F31" s="50">
        <f t="shared" si="2"/>
        <v>23489.340728399999</v>
      </c>
      <c r="G31" s="180">
        <f>(G14*C14+G18*C18+G21*C21+G27*C27)/C31</f>
        <v>710.78562132352954</v>
      </c>
      <c r="H31" s="180">
        <f t="shared" si="19"/>
        <v>55652.952147052929</v>
      </c>
      <c r="I31" s="180">
        <f t="shared" si="20"/>
        <v>1391323.8036763235</v>
      </c>
      <c r="J31" s="180">
        <f t="shared" si="21"/>
        <v>16695885.64411588</v>
      </c>
      <c r="V31" s="40"/>
      <c r="W31" s="173"/>
      <c r="X31" s="40"/>
    </row>
    <row r="32" spans="1:24">
      <c r="A32" s="47">
        <v>1</v>
      </c>
      <c r="B32" s="48" t="s">
        <v>64</v>
      </c>
      <c r="C32" s="38"/>
      <c r="D32" s="46">
        <f t="shared" si="0"/>
        <v>0</v>
      </c>
      <c r="E32" s="46">
        <f t="shared" si="1"/>
        <v>0</v>
      </c>
      <c r="F32" s="46">
        <f t="shared" si="2"/>
        <v>0</v>
      </c>
      <c r="G32" s="179"/>
      <c r="H32" s="179">
        <f t="shared" si="3"/>
        <v>0</v>
      </c>
      <c r="I32" s="179">
        <f t="shared" si="4"/>
        <v>0</v>
      </c>
      <c r="J32" s="179">
        <f t="shared" si="5"/>
        <v>0</v>
      </c>
      <c r="V32" s="40"/>
      <c r="W32" s="173"/>
      <c r="X32" s="40"/>
    </row>
    <row r="33" spans="1:24">
      <c r="A33" s="47">
        <v>2</v>
      </c>
      <c r="B33" s="48" t="s">
        <v>65</v>
      </c>
      <c r="C33" s="38"/>
      <c r="D33" s="46">
        <f t="shared" si="0"/>
        <v>0</v>
      </c>
      <c r="E33" s="46">
        <f t="shared" si="1"/>
        <v>0</v>
      </c>
      <c r="F33" s="46">
        <f t="shared" si="2"/>
        <v>0</v>
      </c>
      <c r="G33" s="179"/>
      <c r="H33" s="179">
        <f t="shared" si="3"/>
        <v>0</v>
      </c>
      <c r="I33" s="179">
        <f t="shared" si="4"/>
        <v>0</v>
      </c>
      <c r="J33" s="179">
        <f t="shared" si="5"/>
        <v>0</v>
      </c>
      <c r="V33" s="40"/>
      <c r="W33" s="173"/>
      <c r="X33" s="40"/>
    </row>
    <row r="34" spans="1:24">
      <c r="A34" s="47">
        <v>3</v>
      </c>
      <c r="B34" s="48" t="s">
        <v>66</v>
      </c>
      <c r="C34" s="38"/>
      <c r="D34" s="46">
        <f t="shared" si="0"/>
        <v>0</v>
      </c>
      <c r="E34" s="46">
        <f t="shared" si="1"/>
        <v>0</v>
      </c>
      <c r="F34" s="46">
        <f t="shared" si="2"/>
        <v>0</v>
      </c>
      <c r="G34" s="179"/>
      <c r="H34" s="179">
        <f t="shared" si="3"/>
        <v>0</v>
      </c>
      <c r="I34" s="179">
        <f t="shared" si="4"/>
        <v>0</v>
      </c>
      <c r="J34" s="179">
        <f t="shared" si="5"/>
        <v>0</v>
      </c>
      <c r="V34" s="40"/>
      <c r="W34" s="176"/>
      <c r="X34" s="40"/>
    </row>
    <row r="35" spans="1:24">
      <c r="A35" s="47">
        <v>4</v>
      </c>
      <c r="B35" s="48" t="s">
        <v>67</v>
      </c>
      <c r="C35" s="38"/>
      <c r="D35" s="46">
        <f t="shared" si="0"/>
        <v>0</v>
      </c>
      <c r="E35" s="46">
        <f t="shared" si="1"/>
        <v>0</v>
      </c>
      <c r="F35" s="46">
        <f t="shared" si="2"/>
        <v>0</v>
      </c>
      <c r="G35" s="179"/>
      <c r="H35" s="179">
        <f t="shared" si="3"/>
        <v>0</v>
      </c>
      <c r="I35" s="179">
        <f t="shared" si="4"/>
        <v>0</v>
      </c>
      <c r="J35" s="179">
        <f t="shared" si="5"/>
        <v>0</v>
      </c>
      <c r="V35" s="40"/>
      <c r="W35" s="173"/>
      <c r="X35" s="40"/>
    </row>
    <row r="36" spans="1:24">
      <c r="A36" s="47">
        <v>5</v>
      </c>
      <c r="B36" s="48" t="s">
        <v>68</v>
      </c>
      <c r="C36" s="38"/>
      <c r="D36" s="46">
        <f t="shared" si="0"/>
        <v>0</v>
      </c>
      <c r="E36" s="46">
        <f t="shared" si="1"/>
        <v>0</v>
      </c>
      <c r="F36" s="46">
        <f t="shared" si="2"/>
        <v>0</v>
      </c>
      <c r="G36" s="179"/>
      <c r="H36" s="179">
        <f t="shared" si="3"/>
        <v>0</v>
      </c>
      <c r="I36" s="179">
        <f t="shared" si="4"/>
        <v>0</v>
      </c>
      <c r="J36" s="179">
        <f t="shared" si="5"/>
        <v>0</v>
      </c>
      <c r="V36" s="40"/>
      <c r="W36" s="174"/>
      <c r="X36" s="40"/>
    </row>
    <row r="37" spans="1:24">
      <c r="A37" s="47"/>
      <c r="B37" s="49" t="s">
        <v>69</v>
      </c>
      <c r="C37" s="2"/>
      <c r="D37" s="50">
        <f t="shared" si="0"/>
        <v>0</v>
      </c>
      <c r="E37" s="50">
        <f t="shared" si="1"/>
        <v>0</v>
      </c>
      <c r="F37" s="50">
        <f t="shared" si="2"/>
        <v>0</v>
      </c>
      <c r="G37" s="180"/>
      <c r="H37" s="180"/>
      <c r="I37" s="180"/>
      <c r="J37" s="180"/>
      <c r="V37" s="40"/>
      <c r="W37" s="175"/>
      <c r="X37" s="40"/>
    </row>
    <row r="38" spans="1:24" ht="16" thickBot="1">
      <c r="A38" s="35"/>
      <c r="B38" s="36" t="s">
        <v>80</v>
      </c>
      <c r="C38" s="13">
        <f>SUM(C37+C30+C27+C21+C18+C14)</f>
        <v>0.24479999999999999</v>
      </c>
      <c r="D38" s="37">
        <f t="shared" ref="D38" si="22">C38*$C$5</f>
        <v>64.35435815999999</v>
      </c>
      <c r="E38" s="52">
        <f t="shared" ref="E38" si="23">D38*25</f>
        <v>1608.8589539999998</v>
      </c>
      <c r="F38" s="52">
        <f t="shared" ref="F38" si="24">D38*300</f>
        <v>19306.307447999996</v>
      </c>
      <c r="G38" s="181"/>
      <c r="H38" s="181"/>
      <c r="I38" s="181"/>
      <c r="J38" s="181"/>
      <c r="V38" s="40"/>
      <c r="W38" s="40"/>
      <c r="X38" s="40"/>
    </row>
    <row r="39" spans="1:24">
      <c r="V39" s="40"/>
      <c r="W39" s="40"/>
      <c r="X39" s="40"/>
    </row>
    <row r="41" spans="1:24">
      <c r="A41" s="466" t="s">
        <v>101</v>
      </c>
      <c r="B41" s="466"/>
      <c r="C41" s="466"/>
      <c r="D41" s="466"/>
      <c r="E41" s="466"/>
      <c r="F41" s="467"/>
      <c r="G41" s="467"/>
      <c r="H41" s="467"/>
      <c r="I41" s="466"/>
    </row>
    <row r="42" spans="1:24">
      <c r="A42" s="23"/>
      <c r="B42" s="23"/>
      <c r="C42" s="74" t="s">
        <v>49</v>
      </c>
      <c r="D42" s="469" t="s">
        <v>31</v>
      </c>
      <c r="E42" s="469"/>
      <c r="F42" s="4" t="s">
        <v>35</v>
      </c>
      <c r="G42" s="4" t="s">
        <v>87</v>
      </c>
      <c r="H42" s="3" t="s">
        <v>50</v>
      </c>
      <c r="I42" s="40"/>
    </row>
    <row r="43" spans="1:24">
      <c r="A43" s="23"/>
      <c r="B43" s="23"/>
      <c r="C43" s="74"/>
      <c r="D43" s="73" t="s">
        <v>51</v>
      </c>
      <c r="E43" s="73" t="s">
        <v>52</v>
      </c>
      <c r="F43" s="4"/>
      <c r="G43" s="4"/>
      <c r="H43" s="3"/>
    </row>
    <row r="44" spans="1:24">
      <c r="A44" s="469" t="s">
        <v>32</v>
      </c>
      <c r="B44" s="469"/>
      <c r="C44" s="75">
        <v>0.24479999999999999</v>
      </c>
      <c r="D44" s="5">
        <f>$D$47*C44</f>
        <v>64.35435815999999</v>
      </c>
      <c r="E44" s="5">
        <f>D44*365/12</f>
        <v>1957.4450606999997</v>
      </c>
      <c r="F44" s="19">
        <f>I31</f>
        <v>1391323.8036763235</v>
      </c>
      <c r="G44" s="16">
        <f>G31</f>
        <v>710.78562132352954</v>
      </c>
      <c r="H44" s="17"/>
      <c r="I44" t="s">
        <v>102</v>
      </c>
    </row>
    <row r="45" spans="1:24">
      <c r="A45" s="469" t="s">
        <v>33</v>
      </c>
      <c r="B45" s="469"/>
      <c r="C45" s="75">
        <v>0.52590000000000003</v>
      </c>
      <c r="D45" s="5">
        <f>$D$47*C45</f>
        <v>138.25145815499999</v>
      </c>
      <c r="E45" s="5">
        <f>D45*365/12</f>
        <v>4205.1485188812503</v>
      </c>
      <c r="F45" s="19"/>
      <c r="G45" s="16"/>
      <c r="H45" s="17"/>
      <c r="I45" s="15"/>
    </row>
    <row r="46" spans="1:24">
      <c r="A46" s="469" t="s">
        <v>34</v>
      </c>
      <c r="B46" s="469"/>
      <c r="C46" s="75">
        <v>0.2293</v>
      </c>
      <c r="D46" s="5">
        <f t="shared" ref="D46" si="25">$D$47*C46</f>
        <v>60.279633685</v>
      </c>
      <c r="E46" s="5">
        <f t="shared" ref="E46" si="26">D46*365/12</f>
        <v>1833.5055245854167</v>
      </c>
      <c r="F46" s="19"/>
      <c r="G46" s="16"/>
      <c r="H46" s="17"/>
      <c r="I46" s="15"/>
    </row>
    <row r="47" spans="1:24">
      <c r="A47" s="470" t="s">
        <v>28</v>
      </c>
      <c r="B47" s="471"/>
      <c r="C47" s="21">
        <f>SUM(C44:C46)</f>
        <v>1</v>
      </c>
      <c r="D47" s="5">
        <f>C5</f>
        <v>262.88544999999999</v>
      </c>
      <c r="E47" s="5">
        <f>SUM(E44:E46)</f>
        <v>7996.0991041666666</v>
      </c>
      <c r="F47" s="18">
        <f>SUM(F44:F46)</f>
        <v>1391323.8036763235</v>
      </c>
      <c r="G47" s="14"/>
      <c r="H47" s="20">
        <v>1</v>
      </c>
    </row>
    <row r="50" spans="1:13">
      <c r="G50">
        <f>12.5*8</f>
        <v>100</v>
      </c>
    </row>
    <row r="52" spans="1:13" ht="16" thickBot="1">
      <c r="M52" t="s">
        <v>243</v>
      </c>
    </row>
    <row r="53" spans="1:13" ht="49" thickBot="1">
      <c r="A53" s="457" t="s">
        <v>115</v>
      </c>
      <c r="B53" s="457" t="s">
        <v>47</v>
      </c>
      <c r="C53" s="460" t="s">
        <v>122</v>
      </c>
      <c r="D53" s="472"/>
      <c r="E53" s="472"/>
      <c r="F53" s="473"/>
      <c r="G53" s="83" t="s">
        <v>123</v>
      </c>
    </row>
    <row r="54" spans="1:13">
      <c r="A54" s="462"/>
      <c r="B54" s="462"/>
      <c r="C54" s="457" t="s">
        <v>117</v>
      </c>
      <c r="D54" s="457" t="s">
        <v>118</v>
      </c>
      <c r="E54" s="84" t="s">
        <v>119</v>
      </c>
      <c r="F54" s="457" t="s">
        <v>121</v>
      </c>
      <c r="G54" s="457" t="s">
        <v>247</v>
      </c>
      <c r="J54" s="22"/>
    </row>
    <row r="55" spans="1:13" ht="32.25" customHeight="1" thickBot="1">
      <c r="A55" s="463"/>
      <c r="B55" s="463"/>
      <c r="C55" s="463"/>
      <c r="D55" s="463"/>
      <c r="E55" s="85" t="s">
        <v>120</v>
      </c>
      <c r="F55" s="463"/>
      <c r="G55" s="462"/>
    </row>
    <row r="56" spans="1:13" ht="16" thickBot="1">
      <c r="A56" s="86">
        <v>2018</v>
      </c>
      <c r="B56" s="87">
        <v>309277</v>
      </c>
      <c r="C56" s="92">
        <f>B56*$C$4/1000</f>
        <v>262.88544999999999</v>
      </c>
      <c r="D56" s="91">
        <f>C56*30</f>
        <v>7886.5635000000002</v>
      </c>
      <c r="E56" s="92">
        <f>C56*365</f>
        <v>95953.189249999996</v>
      </c>
      <c r="F56" s="92">
        <f>E56</f>
        <v>95953.189249999996</v>
      </c>
      <c r="G56" s="92">
        <f>E56/300</f>
        <v>319.84396416666664</v>
      </c>
      <c r="J56" s="22"/>
    </row>
    <row r="57" spans="1:13" ht="16" thickBot="1">
      <c r="A57" s="86">
        <v>2019</v>
      </c>
      <c r="B57" s="88">
        <v>314307.58</v>
      </c>
      <c r="C57" s="92">
        <f t="shared" ref="C57:C81" si="27">B57*$C$4/1000</f>
        <v>267.16144300000002</v>
      </c>
      <c r="D57" s="91">
        <f t="shared" ref="D57:D81" si="28">C57*30</f>
        <v>8014.8432900000007</v>
      </c>
      <c r="E57" s="92">
        <f t="shared" ref="E57:E81" si="29">C57*365</f>
        <v>97513.926695000002</v>
      </c>
      <c r="F57" s="92">
        <f>E57+F56</f>
        <v>193467.115945</v>
      </c>
      <c r="G57" s="92">
        <f t="shared" ref="G57:G81" si="30">E57/300</f>
        <v>325.04642231666668</v>
      </c>
    </row>
    <row r="58" spans="1:13" ht="16" thickBot="1">
      <c r="A58" s="86">
        <v>2020</v>
      </c>
      <c r="B58" s="88">
        <v>316853.46999999997</v>
      </c>
      <c r="C58" s="92">
        <f t="shared" si="27"/>
        <v>269.32544949999999</v>
      </c>
      <c r="D58" s="91">
        <f t="shared" si="28"/>
        <v>8079.7634849999995</v>
      </c>
      <c r="E58" s="92">
        <f t="shared" si="29"/>
        <v>98303.789067499994</v>
      </c>
      <c r="F58" s="92">
        <f t="shared" ref="F58:F81" si="31">E58+F57</f>
        <v>291770.90501250001</v>
      </c>
      <c r="G58" s="92">
        <f t="shared" si="30"/>
        <v>327.67929689166664</v>
      </c>
    </row>
    <row r="59" spans="1:13" ht="16" thickBot="1">
      <c r="A59" s="86">
        <v>2021</v>
      </c>
      <c r="B59" s="88">
        <v>319419.98</v>
      </c>
      <c r="C59" s="92">
        <f t="shared" si="27"/>
        <v>271.50698299999993</v>
      </c>
      <c r="D59" s="91">
        <f t="shared" si="28"/>
        <v>8145.2094899999984</v>
      </c>
      <c r="E59" s="92">
        <f t="shared" si="29"/>
        <v>99100.048794999981</v>
      </c>
      <c r="F59" s="92">
        <f t="shared" si="31"/>
        <v>390870.95380749996</v>
      </c>
      <c r="G59" s="92">
        <f t="shared" si="30"/>
        <v>330.33349598333325</v>
      </c>
    </row>
    <row r="60" spans="1:13" ht="16" thickBot="1">
      <c r="A60" s="86">
        <v>2022</v>
      </c>
      <c r="B60" s="88">
        <v>322007.28999999998</v>
      </c>
      <c r="C60" s="92">
        <f t="shared" si="27"/>
        <v>273.70619649999998</v>
      </c>
      <c r="D60" s="91">
        <f t="shared" si="28"/>
        <v>8211.1858949999987</v>
      </c>
      <c r="E60" s="92">
        <f t="shared" si="29"/>
        <v>99902.761722499985</v>
      </c>
      <c r="F60" s="92">
        <f t="shared" si="31"/>
        <v>490773.71552999993</v>
      </c>
      <c r="G60" s="92">
        <f t="shared" si="30"/>
        <v>333.00920574166662</v>
      </c>
    </row>
    <row r="61" spans="1:13" ht="16" thickBot="1">
      <c r="A61" s="86">
        <v>2023</v>
      </c>
      <c r="B61" s="88">
        <v>324615.53999999998</v>
      </c>
      <c r="C61" s="92">
        <f t="shared" si="27"/>
        <v>275.92320899999999</v>
      </c>
      <c r="D61" s="91">
        <f t="shared" si="28"/>
        <v>8277.6962700000004</v>
      </c>
      <c r="E61" s="92">
        <f t="shared" si="29"/>
        <v>100711.97128499999</v>
      </c>
      <c r="F61" s="92">
        <f t="shared" si="31"/>
        <v>591485.68681499991</v>
      </c>
      <c r="G61" s="92">
        <f t="shared" si="30"/>
        <v>335.70657094999996</v>
      </c>
    </row>
    <row r="62" spans="1:13" ht="16" thickBot="1">
      <c r="A62" s="86">
        <v>2024</v>
      </c>
      <c r="B62" s="88">
        <v>327244.93</v>
      </c>
      <c r="C62" s="92">
        <f t="shared" si="27"/>
        <v>278.15819049999999</v>
      </c>
      <c r="D62" s="91">
        <f t="shared" si="28"/>
        <v>8344.7457149999991</v>
      </c>
      <c r="E62" s="92">
        <f t="shared" si="29"/>
        <v>101527.7395325</v>
      </c>
      <c r="F62" s="92">
        <f t="shared" si="31"/>
        <v>693013.42634749995</v>
      </c>
      <c r="G62" s="92">
        <f t="shared" si="30"/>
        <v>338.42579844166664</v>
      </c>
      <c r="M62" t="s">
        <v>411</v>
      </c>
    </row>
    <row r="63" spans="1:13" ht="16" thickBot="1">
      <c r="A63" s="86">
        <v>2025</v>
      </c>
      <c r="B63" s="88">
        <v>329895.61</v>
      </c>
      <c r="C63" s="92">
        <f t="shared" si="27"/>
        <v>280.41126850000001</v>
      </c>
      <c r="D63" s="91">
        <f t="shared" si="28"/>
        <v>8412.3380550000002</v>
      </c>
      <c r="E63" s="92">
        <f t="shared" si="29"/>
        <v>102350.1130025</v>
      </c>
      <c r="F63" s="92">
        <f t="shared" si="31"/>
        <v>795363.53934999998</v>
      </c>
      <c r="G63" s="92">
        <f t="shared" si="30"/>
        <v>341.16704334166667</v>
      </c>
    </row>
    <row r="64" spans="1:13" ht="16" thickBot="1">
      <c r="A64" s="86">
        <v>2026</v>
      </c>
      <c r="B64" s="88">
        <v>332567.77</v>
      </c>
      <c r="C64" s="92">
        <f t="shared" si="27"/>
        <v>282.68260450000002</v>
      </c>
      <c r="D64" s="91">
        <f t="shared" si="28"/>
        <v>8480.4781350000012</v>
      </c>
      <c r="E64" s="92">
        <f t="shared" si="29"/>
        <v>103179.15064250001</v>
      </c>
      <c r="F64" s="92">
        <f t="shared" si="31"/>
        <v>898542.6899925</v>
      </c>
      <c r="G64" s="92">
        <f t="shared" si="30"/>
        <v>343.93050214166669</v>
      </c>
    </row>
    <row r="65" spans="1:7" ht="16" thickBot="1">
      <c r="A65" s="86">
        <v>2027</v>
      </c>
      <c r="B65" s="88">
        <v>335261.57</v>
      </c>
      <c r="C65" s="92">
        <f t="shared" si="27"/>
        <v>284.97233449999999</v>
      </c>
      <c r="D65" s="91">
        <f t="shared" si="28"/>
        <v>8549.1700349999992</v>
      </c>
      <c r="E65" s="92">
        <f t="shared" si="29"/>
        <v>104014.90209249999</v>
      </c>
      <c r="F65" s="92">
        <f t="shared" si="31"/>
        <v>1002557.592085</v>
      </c>
      <c r="G65" s="92">
        <f t="shared" si="30"/>
        <v>346.71634030833332</v>
      </c>
    </row>
    <row r="66" spans="1:7" ht="16" thickBot="1">
      <c r="A66" s="86">
        <v>2028</v>
      </c>
      <c r="B66" s="88">
        <v>337977.19</v>
      </c>
      <c r="C66" s="92">
        <f t="shared" si="27"/>
        <v>287.28061150000002</v>
      </c>
      <c r="D66" s="91">
        <f t="shared" si="28"/>
        <v>8618.418345</v>
      </c>
      <c r="E66" s="92">
        <f t="shared" si="29"/>
        <v>104857.4231975</v>
      </c>
      <c r="F66" s="92">
        <f t="shared" si="31"/>
        <v>1107415.0152825001</v>
      </c>
      <c r="G66" s="92">
        <f t="shared" si="30"/>
        <v>349.52474399166664</v>
      </c>
    </row>
    <row r="67" spans="1:7" ht="16" thickBot="1">
      <c r="A67" s="86">
        <v>2029</v>
      </c>
      <c r="B67" s="88">
        <v>340714.8</v>
      </c>
      <c r="C67" s="92">
        <f t="shared" si="27"/>
        <v>289.60757999999998</v>
      </c>
      <c r="D67" s="91">
        <f t="shared" si="28"/>
        <v>8688.2273999999998</v>
      </c>
      <c r="E67" s="92">
        <f t="shared" si="29"/>
        <v>105706.76669999999</v>
      </c>
      <c r="F67" s="92">
        <f t="shared" si="31"/>
        <v>1213121.7819825001</v>
      </c>
      <c r="G67" s="92">
        <f t="shared" si="30"/>
        <v>352.35588899999999</v>
      </c>
    </row>
    <row r="68" spans="1:7" ht="16" thickBot="1">
      <c r="A68" s="86">
        <v>2030</v>
      </c>
      <c r="B68" s="87">
        <v>343474.59</v>
      </c>
      <c r="C68" s="92">
        <f t="shared" si="27"/>
        <v>291.95340150000004</v>
      </c>
      <c r="D68" s="91">
        <f t="shared" si="28"/>
        <v>8758.6020450000015</v>
      </c>
      <c r="E68" s="92">
        <f t="shared" si="29"/>
        <v>106562.99154750002</v>
      </c>
      <c r="F68" s="92">
        <f t="shared" si="31"/>
        <v>1319684.7735300001</v>
      </c>
      <c r="G68" s="92">
        <f t="shared" si="30"/>
        <v>355.20997182500008</v>
      </c>
    </row>
    <row r="69" spans="1:7" ht="16" thickBot="1">
      <c r="A69" s="86">
        <v>2031</v>
      </c>
      <c r="B69" s="87">
        <v>346256.74</v>
      </c>
      <c r="C69" s="92">
        <f t="shared" si="27"/>
        <v>294.31822899999997</v>
      </c>
      <c r="D69" s="91">
        <f t="shared" si="28"/>
        <v>8829.5468699999983</v>
      </c>
      <c r="E69" s="92">
        <f t="shared" si="29"/>
        <v>107426.15358499999</v>
      </c>
      <c r="F69" s="92">
        <f t="shared" si="31"/>
        <v>1427110.9271150001</v>
      </c>
      <c r="G69" s="92">
        <f t="shared" si="30"/>
        <v>358.08717861666662</v>
      </c>
    </row>
    <row r="70" spans="1:7" ht="16" thickBot="1">
      <c r="A70" s="86">
        <v>2032</v>
      </c>
      <c r="B70" s="87">
        <v>349061.42</v>
      </c>
      <c r="C70" s="92">
        <f t="shared" si="27"/>
        <v>296.70220699999999</v>
      </c>
      <c r="D70" s="91">
        <f t="shared" si="28"/>
        <v>8901.066209999999</v>
      </c>
      <c r="E70" s="92">
        <f t="shared" si="29"/>
        <v>108296.305555</v>
      </c>
      <c r="F70" s="92">
        <f t="shared" si="31"/>
        <v>1535407.2326700001</v>
      </c>
      <c r="G70" s="92">
        <f t="shared" si="30"/>
        <v>360.98768518333333</v>
      </c>
    </row>
    <row r="71" spans="1:7" ht="16" thickBot="1">
      <c r="A71" s="86">
        <v>2033</v>
      </c>
      <c r="B71" s="87">
        <v>351888.81</v>
      </c>
      <c r="C71" s="92">
        <f t="shared" si="27"/>
        <v>299.10548849999998</v>
      </c>
      <c r="D71" s="91">
        <f t="shared" si="28"/>
        <v>8973.1646549999987</v>
      </c>
      <c r="E71" s="92">
        <f t="shared" si="29"/>
        <v>109173.50330249999</v>
      </c>
      <c r="F71" s="92">
        <f t="shared" si="31"/>
        <v>1644580.7359724999</v>
      </c>
      <c r="G71" s="92">
        <f t="shared" si="30"/>
        <v>363.91167767499996</v>
      </c>
    </row>
    <row r="72" spans="1:7" ht="16" thickBot="1">
      <c r="A72" s="86">
        <v>2034</v>
      </c>
      <c r="B72" s="87">
        <v>354739.11</v>
      </c>
      <c r="C72" s="92">
        <f t="shared" si="27"/>
        <v>301.52824349999997</v>
      </c>
      <c r="D72" s="91">
        <f t="shared" si="28"/>
        <v>9045.8473049999993</v>
      </c>
      <c r="E72" s="92">
        <f t="shared" si="29"/>
        <v>110057.80887749999</v>
      </c>
      <c r="F72" s="92">
        <f t="shared" si="31"/>
        <v>1754638.5448499999</v>
      </c>
      <c r="G72" s="92">
        <f t="shared" si="30"/>
        <v>366.85936292499997</v>
      </c>
    </row>
    <row r="73" spans="1:7" ht="16" thickBot="1">
      <c r="A73" s="86">
        <v>2035</v>
      </c>
      <c r="B73" s="87">
        <v>357612.5</v>
      </c>
      <c r="C73" s="92">
        <f t="shared" si="27"/>
        <v>303.97062499999998</v>
      </c>
      <c r="D73" s="91">
        <f t="shared" si="28"/>
        <v>9119.1187499999996</v>
      </c>
      <c r="E73" s="92">
        <f t="shared" si="29"/>
        <v>110949.278125</v>
      </c>
      <c r="F73" s="92">
        <f t="shared" si="31"/>
        <v>1865587.8229749999</v>
      </c>
      <c r="G73" s="92">
        <f t="shared" si="30"/>
        <v>369.83092708333334</v>
      </c>
    </row>
    <row r="74" spans="1:7" ht="16" thickBot="1">
      <c r="A74" s="86">
        <v>2036</v>
      </c>
      <c r="B74" s="87">
        <v>360509.16</v>
      </c>
      <c r="C74" s="92">
        <f t="shared" si="27"/>
        <v>306.43278599999996</v>
      </c>
      <c r="D74" s="91">
        <f t="shared" si="28"/>
        <v>9192.9835799999983</v>
      </c>
      <c r="E74" s="92">
        <f t="shared" si="29"/>
        <v>111847.96688999998</v>
      </c>
      <c r="F74" s="92">
        <f t="shared" si="31"/>
        <v>1977435.7898649999</v>
      </c>
      <c r="G74" s="92">
        <f t="shared" si="30"/>
        <v>372.82655629999994</v>
      </c>
    </row>
    <row r="75" spans="1:7" ht="16" thickBot="1">
      <c r="A75" s="86">
        <v>2037</v>
      </c>
      <c r="B75" s="87">
        <v>363429.28</v>
      </c>
      <c r="C75" s="92">
        <f t="shared" si="27"/>
        <v>308.91488800000002</v>
      </c>
      <c r="D75" s="91">
        <f t="shared" si="28"/>
        <v>9267.4466400000001</v>
      </c>
      <c r="E75" s="92">
        <f t="shared" si="29"/>
        <v>112753.93412000001</v>
      </c>
      <c r="F75" s="92">
        <f t="shared" si="31"/>
        <v>2090189.723985</v>
      </c>
      <c r="G75" s="92">
        <f t="shared" si="30"/>
        <v>375.84644706666671</v>
      </c>
    </row>
    <row r="76" spans="1:7" ht="16" thickBot="1">
      <c r="A76" s="86">
        <v>2038</v>
      </c>
      <c r="B76" s="87">
        <v>366373.06</v>
      </c>
      <c r="C76" s="92">
        <f t="shared" si="27"/>
        <v>311.41710099999995</v>
      </c>
      <c r="D76" s="91">
        <f t="shared" si="28"/>
        <v>9342.5130299999983</v>
      </c>
      <c r="E76" s="92">
        <f t="shared" si="29"/>
        <v>113667.24186499997</v>
      </c>
      <c r="F76" s="92">
        <f t="shared" si="31"/>
        <v>2203856.9658499998</v>
      </c>
      <c r="G76" s="92">
        <f t="shared" si="30"/>
        <v>378.89080621666659</v>
      </c>
    </row>
    <row r="77" spans="1:7" ht="16" thickBot="1">
      <c r="A77" s="86">
        <v>2039</v>
      </c>
      <c r="B77" s="87">
        <v>369340.68</v>
      </c>
      <c r="C77" s="92">
        <f t="shared" si="27"/>
        <v>313.93957799999998</v>
      </c>
      <c r="D77" s="91">
        <f t="shared" si="28"/>
        <v>9418.1873400000004</v>
      </c>
      <c r="E77" s="92">
        <f t="shared" si="29"/>
        <v>114587.94597</v>
      </c>
      <c r="F77" s="92">
        <f t="shared" si="31"/>
        <v>2318444.91182</v>
      </c>
      <c r="G77" s="92">
        <f t="shared" si="30"/>
        <v>381.95981990000001</v>
      </c>
    </row>
    <row r="78" spans="1:7" ht="16" thickBot="1">
      <c r="A78" s="86">
        <v>2040</v>
      </c>
      <c r="B78" s="87">
        <v>372332.34</v>
      </c>
      <c r="C78" s="92">
        <f t="shared" si="27"/>
        <v>316.48248899999999</v>
      </c>
      <c r="D78" s="91">
        <f t="shared" si="28"/>
        <v>9494.4746699999996</v>
      </c>
      <c r="E78" s="92">
        <f t="shared" si="29"/>
        <v>115516.10848499999</v>
      </c>
      <c r="F78" s="92">
        <f t="shared" si="31"/>
        <v>2433961.0203050002</v>
      </c>
      <c r="G78" s="92">
        <f t="shared" si="30"/>
        <v>385.05369494999997</v>
      </c>
    </row>
    <row r="79" spans="1:7" ht="16" thickBot="1">
      <c r="A79" s="86">
        <v>2041</v>
      </c>
      <c r="B79" s="87">
        <v>375348.23</v>
      </c>
      <c r="C79" s="92">
        <f t="shared" si="27"/>
        <v>319.04599549999995</v>
      </c>
      <c r="D79" s="91">
        <f t="shared" si="28"/>
        <v>9571.379864999999</v>
      </c>
      <c r="E79" s="92">
        <f t="shared" si="29"/>
        <v>116451.78835749999</v>
      </c>
      <c r="F79" s="92">
        <f t="shared" si="31"/>
        <v>2550412.8086625002</v>
      </c>
      <c r="G79" s="92">
        <f t="shared" si="30"/>
        <v>388.17262785833327</v>
      </c>
    </row>
    <row r="80" spans="1:7" ht="16" thickBot="1">
      <c r="A80" s="86">
        <v>2042</v>
      </c>
      <c r="B80" s="87">
        <v>378388.56</v>
      </c>
      <c r="C80" s="92">
        <f t="shared" si="27"/>
        <v>321.63027600000004</v>
      </c>
      <c r="D80" s="91">
        <f t="shared" si="28"/>
        <v>9648.9082800000015</v>
      </c>
      <c r="E80" s="92">
        <f t="shared" si="29"/>
        <v>117395.05074000002</v>
      </c>
      <c r="F80" s="92">
        <f t="shared" si="31"/>
        <v>2667807.8594025001</v>
      </c>
      <c r="G80" s="92">
        <f t="shared" si="30"/>
        <v>391.31683580000009</v>
      </c>
    </row>
    <row r="81" spans="1:7" ht="16" thickBot="1">
      <c r="A81" s="86">
        <v>2043</v>
      </c>
      <c r="B81" s="87">
        <v>381453.5</v>
      </c>
      <c r="C81" s="92">
        <f t="shared" si="27"/>
        <v>324.23547499999995</v>
      </c>
      <c r="D81" s="91">
        <f t="shared" si="28"/>
        <v>9727.0642499999994</v>
      </c>
      <c r="E81" s="92">
        <f t="shared" si="29"/>
        <v>118345.94837499998</v>
      </c>
      <c r="F81" s="92">
        <f t="shared" si="31"/>
        <v>2786153.8077775002</v>
      </c>
      <c r="G81" s="92">
        <f t="shared" si="30"/>
        <v>394.48649458333324</v>
      </c>
    </row>
    <row r="83" spans="1:7" ht="16" thickBot="1"/>
    <row r="84" spans="1:7" ht="16" thickBot="1">
      <c r="A84" s="457" t="s">
        <v>115</v>
      </c>
      <c r="B84" s="457" t="s">
        <v>47</v>
      </c>
      <c r="C84" s="460" t="s">
        <v>116</v>
      </c>
      <c r="D84" s="472"/>
      <c r="E84" s="472"/>
      <c r="F84" s="473"/>
    </row>
    <row r="85" spans="1:7">
      <c r="A85" s="462"/>
      <c r="B85" s="462"/>
      <c r="C85" s="457" t="s">
        <v>117</v>
      </c>
      <c r="D85" s="457" t="s">
        <v>118</v>
      </c>
      <c r="E85" s="84" t="s">
        <v>119</v>
      </c>
      <c r="F85" s="457" t="s">
        <v>121</v>
      </c>
    </row>
    <row r="86" spans="1:7" ht="16" thickBot="1">
      <c r="A86" s="463"/>
      <c r="B86" s="463"/>
      <c r="C86" s="463"/>
      <c r="D86" s="463"/>
      <c r="E86" s="85" t="s">
        <v>120</v>
      </c>
      <c r="F86" s="463"/>
    </row>
    <row r="87" spans="1:7" ht="16" thickBot="1">
      <c r="A87" s="86">
        <v>2018</v>
      </c>
      <c r="B87" s="87">
        <v>309277</v>
      </c>
      <c r="C87" s="88">
        <v>64.349999999999994</v>
      </c>
      <c r="D87" s="87">
        <v>1930.63</v>
      </c>
      <c r="E87" s="88">
        <v>23489.34</v>
      </c>
      <c r="F87" s="88">
        <v>23489.34</v>
      </c>
    </row>
    <row r="88" spans="1:7" ht="16" thickBot="1">
      <c r="A88" s="86">
        <v>2019</v>
      </c>
      <c r="B88" s="88">
        <v>314307.58</v>
      </c>
      <c r="C88" s="88">
        <v>65.400000000000006</v>
      </c>
      <c r="D88" s="87">
        <v>1962.03</v>
      </c>
      <c r="E88" s="88">
        <v>23871.41</v>
      </c>
      <c r="F88" s="88">
        <v>47360.75</v>
      </c>
    </row>
    <row r="89" spans="1:7" ht="16" thickBot="1">
      <c r="A89" s="86">
        <v>2020</v>
      </c>
      <c r="B89" s="88">
        <v>316853.46999999997</v>
      </c>
      <c r="C89" s="88">
        <v>65.930000000000007</v>
      </c>
      <c r="D89" s="88">
        <v>1977.93</v>
      </c>
      <c r="E89" s="88">
        <v>24064.77</v>
      </c>
      <c r="F89" s="88">
        <v>71425.52</v>
      </c>
    </row>
    <row r="90" spans="1:7" ht="16" thickBot="1">
      <c r="A90" s="86">
        <v>2021</v>
      </c>
      <c r="B90" s="88">
        <v>319419.98</v>
      </c>
      <c r="C90" s="88">
        <v>66.459999999999994</v>
      </c>
      <c r="D90" s="88">
        <v>1993.95</v>
      </c>
      <c r="E90" s="88">
        <v>24259.69</v>
      </c>
      <c r="F90" s="88">
        <v>95685.21</v>
      </c>
    </row>
    <row r="91" spans="1:7" ht="16" thickBot="1">
      <c r="A91" s="86">
        <v>2022</v>
      </c>
      <c r="B91" s="88">
        <v>322007.28999999998</v>
      </c>
      <c r="C91" s="88">
        <v>67</v>
      </c>
      <c r="D91" s="88">
        <v>2010.1</v>
      </c>
      <c r="E91" s="88">
        <v>24456.2</v>
      </c>
      <c r="F91" s="88">
        <v>120141.41</v>
      </c>
    </row>
    <row r="92" spans="1:7" ht="16" thickBot="1">
      <c r="A92" s="86">
        <v>2023</v>
      </c>
      <c r="B92" s="88">
        <v>324615.53999999998</v>
      </c>
      <c r="C92" s="88">
        <v>67.55</v>
      </c>
      <c r="D92" s="88">
        <v>2026.38</v>
      </c>
      <c r="E92" s="88">
        <v>24654.29</v>
      </c>
      <c r="F92" s="88">
        <v>144795.70000000001</v>
      </c>
    </row>
    <row r="93" spans="1:7" ht="16" thickBot="1">
      <c r="A93" s="86">
        <v>2024</v>
      </c>
      <c r="B93" s="88">
        <v>327244.93</v>
      </c>
      <c r="C93" s="88">
        <v>68.09</v>
      </c>
      <c r="D93" s="88">
        <v>2042.79</v>
      </c>
      <c r="E93" s="88">
        <v>24853.99</v>
      </c>
      <c r="F93" s="88">
        <v>169649.69</v>
      </c>
    </row>
    <row r="94" spans="1:7" ht="16" thickBot="1">
      <c r="A94" s="86">
        <v>2025</v>
      </c>
      <c r="B94" s="88">
        <v>329895.61</v>
      </c>
      <c r="C94" s="88">
        <v>68.64</v>
      </c>
      <c r="D94" s="88">
        <v>2059.34</v>
      </c>
      <c r="E94" s="88">
        <v>25055.31</v>
      </c>
      <c r="F94" s="88">
        <v>194705</v>
      </c>
    </row>
    <row r="95" spans="1:7" ht="16" thickBot="1">
      <c r="A95" s="86">
        <v>2026</v>
      </c>
      <c r="B95" s="88">
        <v>332567.77</v>
      </c>
      <c r="C95" s="88">
        <v>69.2</v>
      </c>
      <c r="D95" s="88">
        <v>2076.02</v>
      </c>
      <c r="E95" s="88">
        <v>25258.26</v>
      </c>
      <c r="F95" s="88">
        <v>219963.25</v>
      </c>
    </row>
    <row r="96" spans="1:7" ht="16" thickBot="1">
      <c r="A96" s="86">
        <v>2027</v>
      </c>
      <c r="B96" s="88">
        <v>335261.57</v>
      </c>
      <c r="C96" s="88">
        <v>69.760000000000005</v>
      </c>
      <c r="D96" s="88">
        <v>2092.84</v>
      </c>
      <c r="E96" s="88">
        <v>25462.85</v>
      </c>
      <c r="F96" s="88">
        <v>245426.1</v>
      </c>
    </row>
    <row r="97" spans="1:6" ht="16" thickBot="1">
      <c r="A97" s="86">
        <v>2028</v>
      </c>
      <c r="B97" s="88">
        <v>337977.19</v>
      </c>
      <c r="C97" s="88">
        <v>70.33</v>
      </c>
      <c r="D97" s="88">
        <v>2109.79</v>
      </c>
      <c r="E97" s="88">
        <v>25669.1</v>
      </c>
      <c r="F97" s="88">
        <v>271095.2</v>
      </c>
    </row>
    <row r="98" spans="1:6" ht="16" thickBot="1">
      <c r="A98" s="86">
        <v>2029</v>
      </c>
      <c r="B98" s="88">
        <v>340714.8</v>
      </c>
      <c r="C98" s="88">
        <v>70.900000000000006</v>
      </c>
      <c r="D98" s="88">
        <v>2126.88</v>
      </c>
      <c r="E98" s="88">
        <v>25877.02</v>
      </c>
      <c r="F98" s="88">
        <v>296972.21000000002</v>
      </c>
    </row>
    <row r="99" spans="1:6" ht="16" thickBot="1">
      <c r="A99" s="86">
        <v>2030</v>
      </c>
      <c r="B99" s="87">
        <v>343474.59</v>
      </c>
      <c r="C99" s="87">
        <v>71.47</v>
      </c>
      <c r="D99" s="87">
        <v>2144.11</v>
      </c>
      <c r="E99" s="87">
        <v>26086.62</v>
      </c>
      <c r="F99" s="88">
        <v>323058.83</v>
      </c>
    </row>
    <row r="100" spans="1:6" ht="16" thickBot="1">
      <c r="A100" s="86">
        <v>2031</v>
      </c>
      <c r="B100" s="87">
        <v>346256.74</v>
      </c>
      <c r="C100" s="87">
        <v>72.05</v>
      </c>
      <c r="D100" s="87">
        <v>2161.4699999999998</v>
      </c>
      <c r="E100" s="87">
        <v>26297.919999999998</v>
      </c>
      <c r="F100" s="88">
        <v>349356.75</v>
      </c>
    </row>
    <row r="101" spans="1:6" ht="16" thickBot="1">
      <c r="A101" s="86">
        <v>2032</v>
      </c>
      <c r="B101" s="87">
        <v>349061.42</v>
      </c>
      <c r="C101" s="87">
        <v>72.63</v>
      </c>
      <c r="D101" s="87">
        <v>2178.98</v>
      </c>
      <c r="E101" s="87">
        <v>26510.94</v>
      </c>
      <c r="F101" s="88">
        <v>375867.69</v>
      </c>
    </row>
    <row r="102" spans="1:6" ht="16" thickBot="1">
      <c r="A102" s="86">
        <v>2033</v>
      </c>
      <c r="B102" s="87">
        <v>351888.81</v>
      </c>
      <c r="C102" s="87">
        <v>73.22</v>
      </c>
      <c r="D102" s="87">
        <v>2196.63</v>
      </c>
      <c r="E102" s="87">
        <v>26725.67</v>
      </c>
      <c r="F102" s="88">
        <v>402593.36</v>
      </c>
    </row>
    <row r="103" spans="1:6" ht="16" thickBot="1">
      <c r="A103" s="86">
        <v>2034</v>
      </c>
      <c r="B103" s="87">
        <v>354739.11</v>
      </c>
      <c r="C103" s="87">
        <v>73.81</v>
      </c>
      <c r="D103" s="87">
        <v>2214.42</v>
      </c>
      <c r="E103" s="87">
        <v>26942.15</v>
      </c>
      <c r="F103" s="88">
        <v>429535.52</v>
      </c>
    </row>
    <row r="104" spans="1:6" ht="16" thickBot="1">
      <c r="A104" s="86">
        <v>2035</v>
      </c>
      <c r="B104" s="87">
        <v>357612.5</v>
      </c>
      <c r="C104" s="87">
        <v>74.41</v>
      </c>
      <c r="D104" s="87">
        <v>2232.36</v>
      </c>
      <c r="E104" s="87">
        <v>27160.38</v>
      </c>
      <c r="F104" s="88">
        <v>456695.9</v>
      </c>
    </row>
    <row r="105" spans="1:6" ht="16" thickBot="1">
      <c r="A105" s="86">
        <v>2036</v>
      </c>
      <c r="B105" s="87">
        <v>360509.16</v>
      </c>
      <c r="C105" s="87">
        <v>75.010000000000005</v>
      </c>
      <c r="D105" s="87">
        <v>2250.44</v>
      </c>
      <c r="E105" s="87">
        <v>27380.38</v>
      </c>
      <c r="F105" s="88">
        <v>484076.28</v>
      </c>
    </row>
    <row r="106" spans="1:6" ht="16" thickBot="1">
      <c r="A106" s="86">
        <v>2037</v>
      </c>
      <c r="B106" s="87">
        <v>363429.28</v>
      </c>
      <c r="C106" s="87">
        <v>75.62</v>
      </c>
      <c r="D106" s="87">
        <v>2268.67</v>
      </c>
      <c r="E106" s="87">
        <v>27602.16</v>
      </c>
      <c r="F106" s="88">
        <v>511678.44</v>
      </c>
    </row>
    <row r="107" spans="1:6" ht="16" thickBot="1">
      <c r="A107" s="86">
        <v>2038</v>
      </c>
      <c r="B107" s="87">
        <v>366373.06</v>
      </c>
      <c r="C107" s="87">
        <v>76.23</v>
      </c>
      <c r="D107" s="87">
        <v>2287.0500000000002</v>
      </c>
      <c r="E107" s="87">
        <v>27825.74</v>
      </c>
      <c r="F107" s="88">
        <v>539504.18999999994</v>
      </c>
    </row>
    <row r="108" spans="1:6" ht="16" thickBot="1">
      <c r="A108" s="86">
        <v>2039</v>
      </c>
      <c r="B108" s="87">
        <v>369340.68</v>
      </c>
      <c r="C108" s="87">
        <v>76.849999999999994</v>
      </c>
      <c r="D108" s="87">
        <v>2305.5700000000002</v>
      </c>
      <c r="E108" s="87">
        <v>28051.13</v>
      </c>
      <c r="F108" s="88">
        <v>567555.31000000006</v>
      </c>
    </row>
    <row r="109" spans="1:6" ht="16" thickBot="1">
      <c r="A109" s="86">
        <v>2040</v>
      </c>
      <c r="B109" s="87">
        <v>372332.34</v>
      </c>
      <c r="C109" s="87">
        <v>77.47</v>
      </c>
      <c r="D109" s="87">
        <v>2324.25</v>
      </c>
      <c r="E109" s="87">
        <v>28278.34</v>
      </c>
      <c r="F109" s="88">
        <v>595833.66</v>
      </c>
    </row>
    <row r="110" spans="1:6" ht="16" thickBot="1">
      <c r="A110" s="86">
        <v>2041</v>
      </c>
      <c r="B110" s="87">
        <v>375348.23</v>
      </c>
      <c r="C110" s="87">
        <v>78.099999999999994</v>
      </c>
      <c r="D110" s="87">
        <v>2343.0700000000002</v>
      </c>
      <c r="E110" s="87">
        <v>28507.4</v>
      </c>
      <c r="F110" s="88">
        <v>624341.06000000006</v>
      </c>
    </row>
    <row r="111" spans="1:6" ht="16" thickBot="1">
      <c r="A111" s="86">
        <v>2042</v>
      </c>
      <c r="B111" s="87">
        <v>378388.56</v>
      </c>
      <c r="C111" s="87">
        <v>78.739999999999995</v>
      </c>
      <c r="D111" s="87">
        <v>2362.0500000000002</v>
      </c>
      <c r="E111" s="87">
        <v>28738.31</v>
      </c>
      <c r="F111" s="88">
        <v>653079.36</v>
      </c>
    </row>
    <row r="112" spans="1:6" ht="16" thickBot="1">
      <c r="A112" s="86">
        <v>2043</v>
      </c>
      <c r="B112" s="87">
        <v>381453.5</v>
      </c>
      <c r="C112" s="87">
        <v>79.37</v>
      </c>
      <c r="D112" s="87">
        <v>2381.19</v>
      </c>
      <c r="E112" s="87">
        <v>28971.09</v>
      </c>
      <c r="F112" s="88">
        <v>682050.45</v>
      </c>
    </row>
    <row r="113" spans="1:7" ht="16" thickBot="1"/>
    <row r="114" spans="1:7" ht="16" thickBot="1">
      <c r="A114" s="457" t="s">
        <v>115</v>
      </c>
      <c r="B114" s="457" t="s">
        <v>47</v>
      </c>
      <c r="C114" s="460" t="s">
        <v>124</v>
      </c>
      <c r="D114" s="472"/>
      <c r="E114" s="472"/>
      <c r="F114" s="473"/>
      <c r="G114" t="s">
        <v>125</v>
      </c>
    </row>
    <row r="115" spans="1:7">
      <c r="A115" s="462"/>
      <c r="B115" s="462"/>
      <c r="C115" s="457" t="s">
        <v>117</v>
      </c>
      <c r="D115" s="457" t="s">
        <v>118</v>
      </c>
      <c r="E115" s="84" t="s">
        <v>119</v>
      </c>
      <c r="F115" s="457" t="s">
        <v>121</v>
      </c>
    </row>
    <row r="116" spans="1:7" ht="16" thickBot="1">
      <c r="A116" s="463"/>
      <c r="B116" s="463"/>
      <c r="C116" s="463"/>
      <c r="D116" s="463"/>
      <c r="E116" s="85" t="s">
        <v>120</v>
      </c>
      <c r="F116" s="463"/>
    </row>
    <row r="117" spans="1:7" ht="16" thickBot="1">
      <c r="A117" s="86">
        <v>2018</v>
      </c>
      <c r="B117" s="87">
        <v>309277</v>
      </c>
      <c r="C117" s="88">
        <v>86.75</v>
      </c>
      <c r="D117" s="87">
        <v>2602.5700000000002</v>
      </c>
      <c r="E117" s="88">
        <v>31664.55</v>
      </c>
      <c r="F117" s="88">
        <v>31664.55</v>
      </c>
    </row>
    <row r="118" spans="1:7" ht="16" thickBot="1">
      <c r="A118" s="86">
        <v>2019</v>
      </c>
      <c r="B118" s="88">
        <v>314307.58</v>
      </c>
      <c r="C118" s="88">
        <v>88.16</v>
      </c>
      <c r="D118" s="87">
        <v>2644.9</v>
      </c>
      <c r="E118" s="88">
        <v>32179.599999999999</v>
      </c>
      <c r="F118" s="88">
        <v>63844.15</v>
      </c>
    </row>
    <row r="119" spans="1:7" ht="16" thickBot="1">
      <c r="A119" s="86">
        <v>2020</v>
      </c>
      <c r="B119" s="88">
        <v>316853.46999999997</v>
      </c>
      <c r="C119" s="88">
        <v>88.88</v>
      </c>
      <c r="D119" s="88">
        <v>2666.32</v>
      </c>
      <c r="E119" s="88">
        <v>32440.25</v>
      </c>
      <c r="F119" s="88">
        <v>96284.4</v>
      </c>
    </row>
    <row r="120" spans="1:7" ht="16" thickBot="1">
      <c r="A120" s="86">
        <v>2021</v>
      </c>
      <c r="B120" s="88">
        <v>319419.98</v>
      </c>
      <c r="C120" s="88">
        <v>89.6</v>
      </c>
      <c r="D120" s="88">
        <v>2687.92</v>
      </c>
      <c r="E120" s="88">
        <v>32703.02</v>
      </c>
      <c r="F120" s="88">
        <v>128987.42</v>
      </c>
    </row>
    <row r="121" spans="1:7" ht="16" thickBot="1">
      <c r="A121" s="86">
        <v>2022</v>
      </c>
      <c r="B121" s="88">
        <v>322007.28999999998</v>
      </c>
      <c r="C121" s="88">
        <v>90.32</v>
      </c>
      <c r="D121" s="88">
        <v>2709.69</v>
      </c>
      <c r="E121" s="88">
        <v>32967.910000000003</v>
      </c>
      <c r="F121" s="88">
        <v>161955.32999999999</v>
      </c>
    </row>
    <row r="122" spans="1:7" ht="16" thickBot="1">
      <c r="A122" s="86">
        <v>2023</v>
      </c>
      <c r="B122" s="88">
        <v>324615.53999999998</v>
      </c>
      <c r="C122" s="88">
        <v>91.05</v>
      </c>
      <c r="D122" s="88">
        <v>2731.64</v>
      </c>
      <c r="E122" s="88">
        <v>33234.949999999997</v>
      </c>
      <c r="F122" s="88">
        <v>195190.28</v>
      </c>
    </row>
    <row r="123" spans="1:7" ht="16" thickBot="1">
      <c r="A123" s="86">
        <v>2024</v>
      </c>
      <c r="B123" s="88">
        <v>327244.93</v>
      </c>
      <c r="C123" s="88">
        <v>91.79</v>
      </c>
      <c r="D123" s="88">
        <v>2753.77</v>
      </c>
      <c r="E123" s="88">
        <v>33504.15</v>
      </c>
      <c r="F123" s="88">
        <v>228694.43</v>
      </c>
    </row>
    <row r="124" spans="1:7" ht="16" thickBot="1">
      <c r="A124" s="86">
        <v>2025</v>
      </c>
      <c r="B124" s="88">
        <v>329895.61</v>
      </c>
      <c r="C124" s="88">
        <v>92.54</v>
      </c>
      <c r="D124" s="88">
        <v>2776.07</v>
      </c>
      <c r="E124" s="88">
        <v>33775.54</v>
      </c>
      <c r="F124" s="88">
        <v>262469.96999999997</v>
      </c>
    </row>
    <row r="125" spans="1:7" ht="16" thickBot="1">
      <c r="A125" s="86">
        <v>2026</v>
      </c>
      <c r="B125" s="88">
        <v>332567.77</v>
      </c>
      <c r="C125" s="88">
        <v>93.29</v>
      </c>
      <c r="D125" s="88">
        <v>2798.56</v>
      </c>
      <c r="E125" s="88">
        <v>34049.120000000003</v>
      </c>
      <c r="F125" s="88">
        <v>296519.09000000003</v>
      </c>
    </row>
    <row r="126" spans="1:7" ht="16" thickBot="1">
      <c r="A126" s="86">
        <v>2027</v>
      </c>
      <c r="B126" s="88">
        <v>335261.57</v>
      </c>
      <c r="C126" s="88">
        <v>94.04</v>
      </c>
      <c r="D126" s="88">
        <v>2821.23</v>
      </c>
      <c r="E126" s="88">
        <v>34324.92</v>
      </c>
      <c r="F126" s="88">
        <v>330844.01</v>
      </c>
    </row>
    <row r="127" spans="1:7" ht="16" thickBot="1">
      <c r="A127" s="86">
        <v>2028</v>
      </c>
      <c r="B127" s="88">
        <v>337977.19</v>
      </c>
      <c r="C127" s="88">
        <v>94.8</v>
      </c>
      <c r="D127" s="88">
        <v>2844.08</v>
      </c>
      <c r="E127" s="88">
        <v>34602.949999999997</v>
      </c>
      <c r="F127" s="88">
        <v>365446.96</v>
      </c>
    </row>
    <row r="128" spans="1:7" ht="16" thickBot="1">
      <c r="A128" s="86">
        <v>2029</v>
      </c>
      <c r="B128" s="88">
        <v>340714.8</v>
      </c>
      <c r="C128" s="88">
        <v>95.57</v>
      </c>
      <c r="D128" s="88">
        <v>2867.12</v>
      </c>
      <c r="E128" s="88">
        <v>34883.230000000003</v>
      </c>
      <c r="F128" s="88">
        <v>400330.19</v>
      </c>
    </row>
    <row r="129" spans="1:6" ht="16" thickBot="1">
      <c r="A129" s="86">
        <v>2030</v>
      </c>
      <c r="B129" s="87">
        <v>343474.59</v>
      </c>
      <c r="C129" s="87">
        <v>96.34</v>
      </c>
      <c r="D129" s="87">
        <v>2890.34</v>
      </c>
      <c r="E129" s="87">
        <v>35165.79</v>
      </c>
      <c r="F129" s="88">
        <v>435495.98</v>
      </c>
    </row>
    <row r="130" spans="1:6" ht="16" thickBot="1">
      <c r="A130" s="86">
        <v>2031</v>
      </c>
      <c r="B130" s="87">
        <v>346256.74</v>
      </c>
      <c r="C130" s="87">
        <v>97.13</v>
      </c>
      <c r="D130" s="87">
        <v>2913.75</v>
      </c>
      <c r="E130" s="87">
        <v>35450.629999999997</v>
      </c>
      <c r="F130" s="88">
        <v>470946.61</v>
      </c>
    </row>
    <row r="131" spans="1:6" ht="16" thickBot="1">
      <c r="A131" s="86">
        <v>2032</v>
      </c>
      <c r="B131" s="87">
        <v>349061.42</v>
      </c>
      <c r="C131" s="87">
        <v>97.91</v>
      </c>
      <c r="D131" s="87">
        <v>2937.35</v>
      </c>
      <c r="E131" s="87">
        <v>35737.78</v>
      </c>
      <c r="F131" s="88">
        <v>506684.39</v>
      </c>
    </row>
    <row r="132" spans="1:6" ht="16" thickBot="1">
      <c r="A132" s="86">
        <v>2033</v>
      </c>
      <c r="B132" s="87">
        <v>351888.81</v>
      </c>
      <c r="C132" s="87">
        <v>98.7</v>
      </c>
      <c r="D132" s="87">
        <v>2961.14</v>
      </c>
      <c r="E132" s="87">
        <v>36027.26</v>
      </c>
      <c r="F132" s="88">
        <v>542711.64</v>
      </c>
    </row>
    <row r="133" spans="1:6" ht="16" thickBot="1">
      <c r="A133" s="86">
        <v>2034</v>
      </c>
      <c r="B133" s="87">
        <v>354739.11</v>
      </c>
      <c r="C133" s="87">
        <v>99.5</v>
      </c>
      <c r="D133" s="87">
        <v>2985.13</v>
      </c>
      <c r="E133" s="87">
        <v>36319.08</v>
      </c>
      <c r="F133" s="88">
        <v>579030.72</v>
      </c>
    </row>
    <row r="134" spans="1:6" ht="16" thickBot="1">
      <c r="A134" s="86">
        <v>2035</v>
      </c>
      <c r="B134" s="87">
        <v>357612.5</v>
      </c>
      <c r="C134" s="87">
        <v>100.31</v>
      </c>
      <c r="D134" s="87">
        <v>3009.31</v>
      </c>
      <c r="E134" s="87">
        <v>36613.26</v>
      </c>
      <c r="F134" s="88">
        <v>615643.98</v>
      </c>
    </row>
    <row r="135" spans="1:6" ht="16" thickBot="1">
      <c r="A135" s="86">
        <v>2036</v>
      </c>
      <c r="B135" s="87">
        <v>360509.16</v>
      </c>
      <c r="C135" s="87">
        <v>101.12</v>
      </c>
      <c r="D135" s="87">
        <v>3033.68</v>
      </c>
      <c r="E135" s="87">
        <v>36909.83</v>
      </c>
      <c r="F135" s="88">
        <v>652553.81000000006</v>
      </c>
    </row>
    <row r="136" spans="1:6" ht="16" thickBot="1">
      <c r="A136" s="86">
        <v>2037</v>
      </c>
      <c r="B136" s="87">
        <v>363429.28</v>
      </c>
      <c r="C136" s="87">
        <v>101.94</v>
      </c>
      <c r="D136" s="87">
        <v>3058.26</v>
      </c>
      <c r="E136" s="87">
        <v>37208.800000000003</v>
      </c>
      <c r="F136" s="88">
        <v>689762.61</v>
      </c>
    </row>
    <row r="137" spans="1:6" ht="16" thickBot="1">
      <c r="A137" s="86">
        <v>2038</v>
      </c>
      <c r="B137" s="87">
        <v>366373.06</v>
      </c>
      <c r="C137" s="87">
        <v>102.77</v>
      </c>
      <c r="D137" s="87">
        <v>3083.03</v>
      </c>
      <c r="E137" s="87">
        <v>37510.19</v>
      </c>
      <c r="F137" s="88">
        <v>727272.8</v>
      </c>
    </row>
    <row r="138" spans="1:6" ht="16" thickBot="1">
      <c r="A138" s="86">
        <v>2039</v>
      </c>
      <c r="B138" s="87">
        <v>369340.68</v>
      </c>
      <c r="C138" s="87">
        <v>103.6</v>
      </c>
      <c r="D138" s="87">
        <v>3108</v>
      </c>
      <c r="E138" s="87">
        <v>37814.019999999997</v>
      </c>
      <c r="F138" s="88">
        <v>765086.82</v>
      </c>
    </row>
    <row r="139" spans="1:6" ht="16" thickBot="1">
      <c r="A139" s="86">
        <v>2040</v>
      </c>
      <c r="B139" s="87">
        <v>372332.34</v>
      </c>
      <c r="C139" s="87">
        <v>104.44</v>
      </c>
      <c r="D139" s="87">
        <v>3133.18</v>
      </c>
      <c r="E139" s="87">
        <v>38120.32</v>
      </c>
      <c r="F139" s="88">
        <v>803207.14</v>
      </c>
    </row>
    <row r="140" spans="1:6" ht="16" thickBot="1">
      <c r="A140" s="86">
        <v>2041</v>
      </c>
      <c r="B140" s="87">
        <v>375348.23</v>
      </c>
      <c r="C140" s="87">
        <v>105.29</v>
      </c>
      <c r="D140" s="87">
        <v>3158.56</v>
      </c>
      <c r="E140" s="87">
        <v>38429.089999999997</v>
      </c>
      <c r="F140" s="88">
        <v>841636.23</v>
      </c>
    </row>
    <row r="141" spans="1:6" ht="16" thickBot="1">
      <c r="A141" s="86">
        <v>2042</v>
      </c>
      <c r="B141" s="87">
        <v>378388.56</v>
      </c>
      <c r="C141" s="87">
        <v>106.14</v>
      </c>
      <c r="D141" s="87">
        <v>3184.14</v>
      </c>
      <c r="E141" s="87">
        <v>38740.370000000003</v>
      </c>
      <c r="F141" s="88">
        <v>880376.59</v>
      </c>
    </row>
    <row r="142" spans="1:6" ht="16" thickBot="1">
      <c r="A142" s="86">
        <v>2043</v>
      </c>
      <c r="B142" s="87">
        <v>381453.5</v>
      </c>
      <c r="C142" s="87">
        <v>107</v>
      </c>
      <c r="D142" s="87">
        <v>3209.93</v>
      </c>
      <c r="E142" s="87">
        <v>39054.160000000003</v>
      </c>
      <c r="F142" s="88">
        <v>919430.76</v>
      </c>
    </row>
    <row r="147" spans="1:29" ht="16" thickBot="1"/>
    <row r="148" spans="1:29" ht="16" thickBot="1">
      <c r="A148" s="457" t="s">
        <v>115</v>
      </c>
      <c r="B148" s="457"/>
      <c r="C148" s="457"/>
      <c r="D148" s="86">
        <v>2018</v>
      </c>
      <c r="E148" s="86">
        <v>2019</v>
      </c>
      <c r="F148" s="86">
        <v>2020</v>
      </c>
      <c r="G148" s="86">
        <v>2021</v>
      </c>
      <c r="H148" s="86">
        <v>2022</v>
      </c>
      <c r="I148" s="86">
        <v>2023</v>
      </c>
      <c r="J148" s="86">
        <v>2024</v>
      </c>
      <c r="K148" s="86">
        <v>2025</v>
      </c>
      <c r="L148" s="86">
        <v>2026</v>
      </c>
      <c r="M148" s="86">
        <v>2027</v>
      </c>
      <c r="N148" s="86">
        <v>2028</v>
      </c>
      <c r="O148" s="86">
        <v>2029</v>
      </c>
      <c r="P148" s="86">
        <v>2030</v>
      </c>
      <c r="Q148" s="86">
        <v>2031</v>
      </c>
      <c r="R148" s="86">
        <v>2032</v>
      </c>
      <c r="S148" s="86">
        <v>2033</v>
      </c>
      <c r="T148" s="86">
        <v>2034</v>
      </c>
      <c r="U148" s="86">
        <v>2035</v>
      </c>
      <c r="V148" s="86">
        <v>2036</v>
      </c>
      <c r="W148" s="86">
        <v>2037</v>
      </c>
      <c r="X148" s="86">
        <v>2038</v>
      </c>
      <c r="Y148" s="86">
        <v>2039</v>
      </c>
      <c r="Z148" s="86">
        <v>2040</v>
      </c>
      <c r="AA148" s="86">
        <v>2041</v>
      </c>
      <c r="AB148" s="86">
        <v>2042</v>
      </c>
      <c r="AC148" s="86">
        <v>2043</v>
      </c>
    </row>
    <row r="149" spans="1:29" ht="16" thickBot="1">
      <c r="A149" s="458" t="s">
        <v>47</v>
      </c>
      <c r="B149" s="458"/>
      <c r="C149" s="458"/>
      <c r="D149" s="87">
        <v>309277</v>
      </c>
      <c r="E149" s="88">
        <v>314307.58</v>
      </c>
      <c r="F149" s="88">
        <v>316853.46999999997</v>
      </c>
      <c r="G149" s="88">
        <v>319419.98</v>
      </c>
      <c r="H149" s="88">
        <v>322007.28999999998</v>
      </c>
      <c r="I149" s="88">
        <v>324615.53999999998</v>
      </c>
      <c r="J149" s="88">
        <v>327244.93</v>
      </c>
      <c r="K149" s="88">
        <v>329895.61</v>
      </c>
      <c r="L149" s="88">
        <v>332567.77</v>
      </c>
      <c r="M149" s="88">
        <v>335261.57</v>
      </c>
      <c r="N149" s="88">
        <v>337977.19</v>
      </c>
      <c r="O149" s="88">
        <v>340714.8</v>
      </c>
      <c r="P149" s="87">
        <v>343474.59</v>
      </c>
      <c r="Q149" s="87">
        <v>346256.74</v>
      </c>
      <c r="R149" s="87">
        <v>349061.42</v>
      </c>
      <c r="S149" s="87">
        <v>351888.81</v>
      </c>
      <c r="T149" s="87">
        <v>354739.11</v>
      </c>
      <c r="U149" s="87">
        <v>357612.5</v>
      </c>
      <c r="V149" s="87">
        <v>360509.16</v>
      </c>
      <c r="W149" s="87">
        <v>363429.28</v>
      </c>
      <c r="X149" s="87">
        <v>366373.06</v>
      </c>
      <c r="Y149" s="87">
        <v>369340.68</v>
      </c>
      <c r="Z149" s="87">
        <v>372332.34</v>
      </c>
      <c r="AA149" s="87">
        <v>375348.23</v>
      </c>
      <c r="AB149" s="87">
        <v>378388.56</v>
      </c>
      <c r="AC149" s="87">
        <v>381453.5</v>
      </c>
    </row>
    <row r="150" spans="1:29" ht="16" thickBot="1">
      <c r="A150" s="459" t="s">
        <v>122</v>
      </c>
      <c r="B150" s="462" t="s">
        <v>117</v>
      </c>
      <c r="C150" s="463"/>
      <c r="D150" s="92">
        <f t="shared" ref="D150:AC150" si="32">D149*$C$4/1000</f>
        <v>262.88544999999999</v>
      </c>
      <c r="E150" s="92">
        <f t="shared" si="32"/>
        <v>267.16144300000002</v>
      </c>
      <c r="F150" s="92">
        <f t="shared" si="32"/>
        <v>269.32544949999999</v>
      </c>
      <c r="G150" s="92">
        <f t="shared" si="32"/>
        <v>271.50698299999993</v>
      </c>
      <c r="H150" s="92">
        <f t="shared" si="32"/>
        <v>273.70619649999998</v>
      </c>
      <c r="I150" s="92">
        <f t="shared" si="32"/>
        <v>275.92320899999999</v>
      </c>
      <c r="J150" s="92">
        <f t="shared" si="32"/>
        <v>278.15819049999999</v>
      </c>
      <c r="K150" s="92">
        <f t="shared" si="32"/>
        <v>280.41126850000001</v>
      </c>
      <c r="L150" s="92">
        <f t="shared" si="32"/>
        <v>282.68260450000002</v>
      </c>
      <c r="M150" s="92">
        <f t="shared" si="32"/>
        <v>284.97233449999999</v>
      </c>
      <c r="N150" s="92">
        <f t="shared" si="32"/>
        <v>287.28061150000002</v>
      </c>
      <c r="O150" s="92">
        <f t="shared" si="32"/>
        <v>289.60757999999998</v>
      </c>
      <c r="P150" s="92">
        <f t="shared" si="32"/>
        <v>291.95340150000004</v>
      </c>
      <c r="Q150" s="92">
        <f t="shared" si="32"/>
        <v>294.31822899999997</v>
      </c>
      <c r="R150" s="92">
        <f t="shared" si="32"/>
        <v>296.70220699999999</v>
      </c>
      <c r="S150" s="92">
        <f t="shared" si="32"/>
        <v>299.10548849999998</v>
      </c>
      <c r="T150" s="92">
        <f t="shared" si="32"/>
        <v>301.52824349999997</v>
      </c>
      <c r="U150" s="92">
        <f t="shared" si="32"/>
        <v>303.97062499999998</v>
      </c>
      <c r="V150" s="92">
        <f t="shared" si="32"/>
        <v>306.43278599999996</v>
      </c>
      <c r="W150" s="92">
        <f t="shared" si="32"/>
        <v>308.91488800000002</v>
      </c>
      <c r="X150" s="92">
        <f t="shared" si="32"/>
        <v>311.41710099999995</v>
      </c>
      <c r="Y150" s="92">
        <f t="shared" si="32"/>
        <v>313.93957799999998</v>
      </c>
      <c r="Z150" s="92">
        <f t="shared" si="32"/>
        <v>316.48248899999999</v>
      </c>
      <c r="AA150" s="92">
        <f t="shared" si="32"/>
        <v>319.04599549999995</v>
      </c>
      <c r="AB150" s="92">
        <f t="shared" si="32"/>
        <v>321.63027600000004</v>
      </c>
      <c r="AC150" s="92">
        <f t="shared" si="32"/>
        <v>324.23547499999995</v>
      </c>
    </row>
    <row r="151" spans="1:29" ht="16" thickBot="1">
      <c r="A151" s="460"/>
      <c r="B151" s="457" t="s">
        <v>118</v>
      </c>
      <c r="C151" s="463"/>
      <c r="D151" s="91">
        <f t="shared" ref="D151:AC151" si="33">D150*30</f>
        <v>7886.5635000000002</v>
      </c>
      <c r="E151" s="91">
        <f t="shared" si="33"/>
        <v>8014.8432900000007</v>
      </c>
      <c r="F151" s="91">
        <f t="shared" si="33"/>
        <v>8079.7634849999995</v>
      </c>
      <c r="G151" s="91">
        <f t="shared" si="33"/>
        <v>8145.2094899999984</v>
      </c>
      <c r="H151" s="91">
        <f t="shared" si="33"/>
        <v>8211.1858949999987</v>
      </c>
      <c r="I151" s="91">
        <f t="shared" si="33"/>
        <v>8277.6962700000004</v>
      </c>
      <c r="J151" s="91">
        <f t="shared" si="33"/>
        <v>8344.7457149999991</v>
      </c>
      <c r="K151" s="91">
        <f t="shared" si="33"/>
        <v>8412.3380550000002</v>
      </c>
      <c r="L151" s="91">
        <f t="shared" si="33"/>
        <v>8480.4781350000012</v>
      </c>
      <c r="M151" s="91">
        <f t="shared" si="33"/>
        <v>8549.1700349999992</v>
      </c>
      <c r="N151" s="91">
        <f t="shared" si="33"/>
        <v>8618.418345</v>
      </c>
      <c r="O151" s="91">
        <f t="shared" si="33"/>
        <v>8688.2273999999998</v>
      </c>
      <c r="P151" s="91">
        <f t="shared" si="33"/>
        <v>8758.6020450000015</v>
      </c>
      <c r="Q151" s="91">
        <f t="shared" si="33"/>
        <v>8829.5468699999983</v>
      </c>
      <c r="R151" s="91">
        <f t="shared" si="33"/>
        <v>8901.066209999999</v>
      </c>
      <c r="S151" s="91">
        <f t="shared" si="33"/>
        <v>8973.1646549999987</v>
      </c>
      <c r="T151" s="91">
        <f t="shared" si="33"/>
        <v>9045.8473049999993</v>
      </c>
      <c r="U151" s="91">
        <f t="shared" si="33"/>
        <v>9119.1187499999996</v>
      </c>
      <c r="V151" s="91">
        <f t="shared" si="33"/>
        <v>9192.9835799999983</v>
      </c>
      <c r="W151" s="91">
        <f t="shared" si="33"/>
        <v>9267.4466400000001</v>
      </c>
      <c r="X151" s="91">
        <f t="shared" si="33"/>
        <v>9342.5130299999983</v>
      </c>
      <c r="Y151" s="91">
        <f t="shared" si="33"/>
        <v>9418.1873400000004</v>
      </c>
      <c r="Z151" s="91">
        <f t="shared" si="33"/>
        <v>9494.4746699999996</v>
      </c>
      <c r="AA151" s="91">
        <f t="shared" si="33"/>
        <v>9571.379864999999</v>
      </c>
      <c r="AB151" s="91">
        <f t="shared" si="33"/>
        <v>9648.9082800000015</v>
      </c>
      <c r="AC151" s="91">
        <f t="shared" si="33"/>
        <v>9727.0642499999994</v>
      </c>
    </row>
    <row r="152" spans="1:29" ht="16" thickBot="1">
      <c r="A152" s="460"/>
      <c r="B152" s="107" t="s">
        <v>119</v>
      </c>
      <c r="C152" s="85" t="s">
        <v>120</v>
      </c>
      <c r="D152" s="92">
        <f t="shared" ref="D152:AC152" si="34">D150*365</f>
        <v>95953.189249999996</v>
      </c>
      <c r="E152" s="92">
        <f t="shared" si="34"/>
        <v>97513.926695000002</v>
      </c>
      <c r="F152" s="92">
        <f t="shared" si="34"/>
        <v>98303.789067499994</v>
      </c>
      <c r="G152" s="92">
        <f t="shared" si="34"/>
        <v>99100.048794999981</v>
      </c>
      <c r="H152" s="92">
        <f t="shared" si="34"/>
        <v>99902.761722499985</v>
      </c>
      <c r="I152" s="92">
        <f t="shared" si="34"/>
        <v>100711.97128499999</v>
      </c>
      <c r="J152" s="92">
        <f t="shared" si="34"/>
        <v>101527.7395325</v>
      </c>
      <c r="K152" s="92">
        <f t="shared" si="34"/>
        <v>102350.1130025</v>
      </c>
      <c r="L152" s="92">
        <f t="shared" si="34"/>
        <v>103179.15064250001</v>
      </c>
      <c r="M152" s="92">
        <f t="shared" si="34"/>
        <v>104014.90209249999</v>
      </c>
      <c r="N152" s="92">
        <f t="shared" si="34"/>
        <v>104857.4231975</v>
      </c>
      <c r="O152" s="92">
        <f t="shared" si="34"/>
        <v>105706.76669999999</v>
      </c>
      <c r="P152" s="92">
        <f t="shared" si="34"/>
        <v>106562.99154750002</v>
      </c>
      <c r="Q152" s="92">
        <f t="shared" si="34"/>
        <v>107426.15358499999</v>
      </c>
      <c r="R152" s="92">
        <f t="shared" si="34"/>
        <v>108296.305555</v>
      </c>
      <c r="S152" s="92">
        <f t="shared" si="34"/>
        <v>109173.50330249999</v>
      </c>
      <c r="T152" s="92">
        <f t="shared" si="34"/>
        <v>110057.80887749999</v>
      </c>
      <c r="U152" s="92">
        <f t="shared" si="34"/>
        <v>110949.278125</v>
      </c>
      <c r="V152" s="92">
        <f t="shared" si="34"/>
        <v>111847.96688999998</v>
      </c>
      <c r="W152" s="92">
        <f t="shared" si="34"/>
        <v>112753.93412000001</v>
      </c>
      <c r="X152" s="92">
        <f t="shared" si="34"/>
        <v>113667.24186499997</v>
      </c>
      <c r="Y152" s="92">
        <f t="shared" si="34"/>
        <v>114587.94597</v>
      </c>
      <c r="Z152" s="92">
        <f t="shared" si="34"/>
        <v>115516.10848499999</v>
      </c>
      <c r="AA152" s="92">
        <f t="shared" si="34"/>
        <v>116451.78835749999</v>
      </c>
      <c r="AB152" s="92">
        <f t="shared" si="34"/>
        <v>117395.05074000002</v>
      </c>
      <c r="AC152" s="92">
        <f t="shared" si="34"/>
        <v>118345.94837499998</v>
      </c>
    </row>
    <row r="153" spans="1:29" ht="16" thickBot="1">
      <c r="A153" s="461"/>
      <c r="B153" s="458" t="s">
        <v>121</v>
      </c>
      <c r="C153" s="464"/>
      <c r="D153" s="92">
        <f>D152</f>
        <v>95953.189249999996</v>
      </c>
      <c r="E153" s="92">
        <f t="shared" ref="E153:AC153" si="35">E152+D153</f>
        <v>193467.115945</v>
      </c>
      <c r="F153" s="92">
        <f t="shared" si="35"/>
        <v>291770.90501250001</v>
      </c>
      <c r="G153" s="92">
        <f t="shared" si="35"/>
        <v>390870.95380749996</v>
      </c>
      <c r="H153" s="92">
        <f t="shared" si="35"/>
        <v>490773.71552999993</v>
      </c>
      <c r="I153" s="92">
        <f t="shared" si="35"/>
        <v>591485.68681499991</v>
      </c>
      <c r="J153" s="92">
        <f t="shared" si="35"/>
        <v>693013.42634749995</v>
      </c>
      <c r="K153" s="92">
        <f t="shared" si="35"/>
        <v>795363.53934999998</v>
      </c>
      <c r="L153" s="92">
        <f t="shared" si="35"/>
        <v>898542.6899925</v>
      </c>
      <c r="M153" s="92">
        <f t="shared" si="35"/>
        <v>1002557.592085</v>
      </c>
      <c r="N153" s="92">
        <f t="shared" si="35"/>
        <v>1107415.0152825001</v>
      </c>
      <c r="O153" s="92">
        <f t="shared" si="35"/>
        <v>1213121.7819825001</v>
      </c>
      <c r="P153" s="92">
        <f t="shared" si="35"/>
        <v>1319684.7735300001</v>
      </c>
      <c r="Q153" s="92">
        <f t="shared" si="35"/>
        <v>1427110.9271150001</v>
      </c>
      <c r="R153" s="92">
        <f t="shared" si="35"/>
        <v>1535407.2326700001</v>
      </c>
      <c r="S153" s="92">
        <f t="shared" si="35"/>
        <v>1644580.7359724999</v>
      </c>
      <c r="T153" s="92">
        <f t="shared" si="35"/>
        <v>1754638.5448499999</v>
      </c>
      <c r="U153" s="92">
        <f t="shared" si="35"/>
        <v>1865587.8229749999</v>
      </c>
      <c r="V153" s="92">
        <f t="shared" si="35"/>
        <v>1977435.7898649999</v>
      </c>
      <c r="W153" s="92">
        <f t="shared" si="35"/>
        <v>2090189.723985</v>
      </c>
      <c r="X153" s="92">
        <f t="shared" si="35"/>
        <v>2203856.9658499998</v>
      </c>
      <c r="Y153" s="92">
        <f t="shared" si="35"/>
        <v>2318444.91182</v>
      </c>
      <c r="Z153" s="92">
        <f t="shared" si="35"/>
        <v>2433961.0203050002</v>
      </c>
      <c r="AA153" s="92">
        <f t="shared" si="35"/>
        <v>2550412.8086625002</v>
      </c>
      <c r="AB153" s="92">
        <f t="shared" si="35"/>
        <v>2667807.8594025001</v>
      </c>
      <c r="AC153" s="92">
        <f t="shared" si="35"/>
        <v>2786153.8077775002</v>
      </c>
    </row>
    <row r="156" spans="1:29" ht="16" thickBot="1"/>
    <row r="157" spans="1:29" ht="16" thickBot="1">
      <c r="A157" s="457" t="s">
        <v>115</v>
      </c>
      <c r="B157" s="457"/>
      <c r="C157" s="457"/>
      <c r="D157" s="86">
        <v>2018</v>
      </c>
      <c r="E157" s="86">
        <v>2019</v>
      </c>
      <c r="F157" s="86">
        <v>2020</v>
      </c>
      <c r="G157" s="86">
        <v>2021</v>
      </c>
      <c r="H157" s="86">
        <v>2022</v>
      </c>
      <c r="I157" s="86">
        <v>2023</v>
      </c>
      <c r="J157" s="86">
        <v>2024</v>
      </c>
      <c r="K157" s="86">
        <v>2025</v>
      </c>
      <c r="L157" s="86">
        <v>2026</v>
      </c>
      <c r="M157" s="86">
        <v>2027</v>
      </c>
      <c r="N157" s="86">
        <v>2028</v>
      </c>
      <c r="O157" s="86">
        <v>2029</v>
      </c>
      <c r="P157" s="86">
        <v>2030</v>
      </c>
      <c r="Q157" s="86">
        <v>2031</v>
      </c>
      <c r="R157" s="86">
        <v>2032</v>
      </c>
      <c r="S157" s="86">
        <v>2033</v>
      </c>
      <c r="T157" s="86">
        <v>2034</v>
      </c>
      <c r="U157" s="86">
        <v>2035</v>
      </c>
      <c r="V157" s="86">
        <v>2036</v>
      </c>
      <c r="W157" s="86">
        <v>2037</v>
      </c>
      <c r="X157" s="86">
        <v>2038</v>
      </c>
      <c r="Y157" s="86">
        <v>2039</v>
      </c>
      <c r="Z157" s="86">
        <v>2040</v>
      </c>
      <c r="AA157" s="86">
        <v>2041</v>
      </c>
      <c r="AB157" s="86">
        <v>2042</v>
      </c>
      <c r="AC157" s="86">
        <v>2043</v>
      </c>
    </row>
    <row r="158" spans="1:29" ht="15.75" customHeight="1" thickBot="1">
      <c r="A158" s="458" t="s">
        <v>47</v>
      </c>
      <c r="B158" s="458"/>
      <c r="C158" s="458"/>
      <c r="D158" s="87">
        <v>309277</v>
      </c>
      <c r="E158" s="88">
        <v>314307.58</v>
      </c>
      <c r="F158" s="88">
        <v>316853.46999999997</v>
      </c>
      <c r="G158" s="88">
        <v>319419.98</v>
      </c>
      <c r="H158" s="88">
        <v>322007.28999999998</v>
      </c>
      <c r="I158" s="88">
        <v>324615.53999999998</v>
      </c>
      <c r="J158" s="88">
        <v>327244.93</v>
      </c>
      <c r="K158" s="88">
        <v>329895.61</v>
      </c>
      <c r="L158" s="88">
        <v>332567.77</v>
      </c>
      <c r="M158" s="88">
        <v>335261.57</v>
      </c>
      <c r="N158" s="88">
        <v>337977.19</v>
      </c>
      <c r="O158" s="88">
        <v>340714.8</v>
      </c>
      <c r="P158" s="87">
        <v>343474.59</v>
      </c>
      <c r="Q158" s="87">
        <v>346256.74</v>
      </c>
      <c r="R158" s="87">
        <v>349061.42</v>
      </c>
      <c r="S158" s="87">
        <v>351888.81</v>
      </c>
      <c r="T158" s="87">
        <v>354739.11</v>
      </c>
      <c r="U158" s="87">
        <v>357612.5</v>
      </c>
      <c r="V158" s="87">
        <v>360509.16</v>
      </c>
      <c r="W158" s="87">
        <v>363429.28</v>
      </c>
      <c r="X158" s="87">
        <v>366373.06</v>
      </c>
      <c r="Y158" s="87">
        <v>369340.68</v>
      </c>
      <c r="Z158" s="87">
        <v>372332.34</v>
      </c>
      <c r="AA158" s="87">
        <v>375348.23</v>
      </c>
      <c r="AB158" s="87">
        <v>378388.56</v>
      </c>
      <c r="AC158" s="87">
        <v>381453.5</v>
      </c>
    </row>
    <row r="159" spans="1:29" ht="15.75" customHeight="1" thickBot="1">
      <c r="A159" s="459" t="s">
        <v>116</v>
      </c>
      <c r="B159" s="462" t="s">
        <v>117</v>
      </c>
      <c r="C159" s="463"/>
      <c r="D159" s="88">
        <v>64.349999999999994</v>
      </c>
      <c r="E159" s="88">
        <v>65.400000000000006</v>
      </c>
      <c r="F159" s="88">
        <v>65.930000000000007</v>
      </c>
      <c r="G159" s="88">
        <v>66.459999999999994</v>
      </c>
      <c r="H159" s="88">
        <v>67</v>
      </c>
      <c r="I159" s="88">
        <v>67.55</v>
      </c>
      <c r="J159" s="88">
        <v>68.09</v>
      </c>
      <c r="K159" s="88">
        <v>68.64</v>
      </c>
      <c r="L159" s="88">
        <v>69.2</v>
      </c>
      <c r="M159" s="88">
        <v>69.760000000000005</v>
      </c>
      <c r="N159" s="88">
        <v>70.33</v>
      </c>
      <c r="O159" s="88">
        <v>70.900000000000006</v>
      </c>
      <c r="P159" s="87">
        <v>71.47</v>
      </c>
      <c r="Q159" s="87">
        <v>72.05</v>
      </c>
      <c r="R159" s="87">
        <v>72.63</v>
      </c>
      <c r="S159" s="87">
        <v>73.22</v>
      </c>
      <c r="T159" s="87">
        <v>73.81</v>
      </c>
      <c r="U159" s="87">
        <v>74.41</v>
      </c>
      <c r="V159" s="87">
        <v>75.010000000000005</v>
      </c>
      <c r="W159" s="87">
        <v>75.62</v>
      </c>
      <c r="X159" s="87">
        <v>76.23</v>
      </c>
      <c r="Y159" s="87">
        <v>76.849999999999994</v>
      </c>
      <c r="Z159" s="87">
        <v>77.47</v>
      </c>
      <c r="AA159" s="87">
        <v>78.099999999999994</v>
      </c>
      <c r="AB159" s="87">
        <v>78.739999999999995</v>
      </c>
      <c r="AC159" s="87">
        <v>79.37</v>
      </c>
    </row>
    <row r="160" spans="1:29" ht="16" thickBot="1">
      <c r="A160" s="460"/>
      <c r="B160" s="457" t="s">
        <v>118</v>
      </c>
      <c r="C160" s="463"/>
      <c r="D160" s="87">
        <v>1930.63</v>
      </c>
      <c r="E160" s="87">
        <v>1962.03</v>
      </c>
      <c r="F160" s="88">
        <v>1977.93</v>
      </c>
      <c r="G160" s="88">
        <v>1993.95</v>
      </c>
      <c r="H160" s="88">
        <v>2010.1</v>
      </c>
      <c r="I160" s="88">
        <v>2026.38</v>
      </c>
      <c r="J160" s="88">
        <v>2042.79</v>
      </c>
      <c r="K160" s="88">
        <v>2059.34</v>
      </c>
      <c r="L160" s="88">
        <v>2076.02</v>
      </c>
      <c r="M160" s="88">
        <v>2092.84</v>
      </c>
      <c r="N160" s="88">
        <v>2109.79</v>
      </c>
      <c r="O160" s="88">
        <v>2126.88</v>
      </c>
      <c r="P160" s="87">
        <v>2144.11</v>
      </c>
      <c r="Q160" s="87">
        <v>2161.4699999999998</v>
      </c>
      <c r="R160" s="87">
        <v>2178.98</v>
      </c>
      <c r="S160" s="87">
        <v>2196.63</v>
      </c>
      <c r="T160" s="87">
        <v>2214.42</v>
      </c>
      <c r="U160" s="87">
        <v>2232.36</v>
      </c>
      <c r="V160" s="87">
        <v>2250.44</v>
      </c>
      <c r="W160" s="87">
        <v>2268.67</v>
      </c>
      <c r="X160" s="87">
        <v>2287.0500000000002</v>
      </c>
      <c r="Y160" s="87">
        <v>2305.5700000000002</v>
      </c>
      <c r="Z160" s="87">
        <v>2324.25</v>
      </c>
      <c r="AA160" s="87">
        <v>2343.0700000000002</v>
      </c>
      <c r="AB160" s="87">
        <v>2362.0500000000002</v>
      </c>
      <c r="AC160" s="87">
        <v>2381.19</v>
      </c>
    </row>
    <row r="161" spans="1:29" ht="16" thickBot="1">
      <c r="A161" s="460"/>
      <c r="B161" s="107" t="s">
        <v>119</v>
      </c>
      <c r="C161" s="85" t="s">
        <v>120</v>
      </c>
      <c r="D161" s="88">
        <v>23489.34</v>
      </c>
      <c r="E161" s="88">
        <v>23871.41</v>
      </c>
      <c r="F161" s="88">
        <v>24064.77</v>
      </c>
      <c r="G161" s="88">
        <v>24259.69</v>
      </c>
      <c r="H161" s="88">
        <v>24456.2</v>
      </c>
      <c r="I161" s="88">
        <v>24654.29</v>
      </c>
      <c r="J161" s="88">
        <v>24853.99</v>
      </c>
      <c r="K161" s="88">
        <v>25055.31</v>
      </c>
      <c r="L161" s="88">
        <v>25258.26</v>
      </c>
      <c r="M161" s="88">
        <v>25462.85</v>
      </c>
      <c r="N161" s="88">
        <v>25669.1</v>
      </c>
      <c r="O161" s="88">
        <v>25877.02</v>
      </c>
      <c r="P161" s="87">
        <v>26086.62</v>
      </c>
      <c r="Q161" s="87">
        <v>26297.919999999998</v>
      </c>
      <c r="R161" s="87">
        <v>26510.94</v>
      </c>
      <c r="S161" s="87">
        <v>26725.67</v>
      </c>
      <c r="T161" s="87">
        <v>26942.15</v>
      </c>
      <c r="U161" s="87">
        <v>27160.38</v>
      </c>
      <c r="V161" s="87">
        <v>27380.38</v>
      </c>
      <c r="W161" s="87">
        <v>27602.16</v>
      </c>
      <c r="X161" s="87">
        <v>27825.74</v>
      </c>
      <c r="Y161" s="87">
        <v>28051.13</v>
      </c>
      <c r="Z161" s="87">
        <v>28278.34</v>
      </c>
      <c r="AA161" s="87">
        <v>28507.4</v>
      </c>
      <c r="AB161" s="87">
        <v>28738.31</v>
      </c>
      <c r="AC161" s="87">
        <v>28971.09</v>
      </c>
    </row>
    <row r="162" spans="1:29" ht="16" thickBot="1">
      <c r="A162" s="461"/>
      <c r="B162" s="458" t="s">
        <v>121</v>
      </c>
      <c r="C162" s="464"/>
      <c r="D162" s="88">
        <v>23489.34</v>
      </c>
      <c r="E162" s="88">
        <v>47360.75</v>
      </c>
      <c r="F162" s="88">
        <v>71425.52</v>
      </c>
      <c r="G162" s="88">
        <v>95685.21</v>
      </c>
      <c r="H162" s="88">
        <v>120141.41</v>
      </c>
      <c r="I162" s="88">
        <v>144795.70000000001</v>
      </c>
      <c r="J162" s="88">
        <v>169649.69</v>
      </c>
      <c r="K162" s="88">
        <v>194705</v>
      </c>
      <c r="L162" s="88">
        <v>219963.25</v>
      </c>
      <c r="M162" s="88">
        <v>245426.1</v>
      </c>
      <c r="N162" s="88">
        <v>271095.2</v>
      </c>
      <c r="O162" s="88">
        <v>296972.21000000002</v>
      </c>
      <c r="P162" s="88">
        <v>323058.83</v>
      </c>
      <c r="Q162" s="88">
        <v>349356.75</v>
      </c>
      <c r="R162" s="88">
        <v>375867.69</v>
      </c>
      <c r="S162" s="88">
        <v>402593.36</v>
      </c>
      <c r="T162" s="88">
        <v>429535.52</v>
      </c>
      <c r="U162" s="88">
        <v>456695.9</v>
      </c>
      <c r="V162" s="88">
        <v>484076.28</v>
      </c>
      <c r="W162" s="88">
        <v>511678.44</v>
      </c>
      <c r="X162" s="88">
        <v>539504.18999999994</v>
      </c>
      <c r="Y162" s="88">
        <v>567555.31000000006</v>
      </c>
      <c r="Z162" s="88">
        <v>595833.66</v>
      </c>
      <c r="AA162" s="88">
        <v>624341.06000000006</v>
      </c>
      <c r="AB162" s="88">
        <v>653079.36</v>
      </c>
      <c r="AC162" s="88">
        <v>682050.45</v>
      </c>
    </row>
    <row r="164" spans="1:29" ht="16" thickBot="1"/>
    <row r="165" spans="1:29" ht="16" thickBot="1">
      <c r="A165" s="457" t="s">
        <v>115</v>
      </c>
      <c r="B165" s="457"/>
      <c r="C165" s="457"/>
      <c r="D165" s="86">
        <v>2018</v>
      </c>
      <c r="E165" s="86">
        <v>2019</v>
      </c>
      <c r="F165" s="86">
        <v>2020</v>
      </c>
      <c r="G165" s="86">
        <v>2021</v>
      </c>
      <c r="H165" s="86">
        <v>2022</v>
      </c>
      <c r="I165" s="86">
        <v>2023</v>
      </c>
      <c r="J165" s="86">
        <v>2024</v>
      </c>
      <c r="K165" s="86">
        <v>2025</v>
      </c>
      <c r="L165" s="86">
        <v>2026</v>
      </c>
      <c r="M165" s="86">
        <v>2027</v>
      </c>
      <c r="N165" s="86">
        <v>2028</v>
      </c>
      <c r="O165" s="86">
        <v>2029</v>
      </c>
      <c r="P165" s="86">
        <v>2030</v>
      </c>
      <c r="Q165" s="86">
        <v>2031</v>
      </c>
      <c r="R165" s="86">
        <v>2032</v>
      </c>
      <c r="S165" s="86">
        <v>2033</v>
      </c>
      <c r="T165" s="86">
        <v>2034</v>
      </c>
      <c r="U165" s="86">
        <v>2035</v>
      </c>
      <c r="V165" s="86">
        <v>2036</v>
      </c>
      <c r="W165" s="86">
        <v>2037</v>
      </c>
      <c r="X165" s="86">
        <v>2038</v>
      </c>
      <c r="Y165" s="86">
        <v>2039</v>
      </c>
      <c r="Z165" s="86">
        <v>2040</v>
      </c>
      <c r="AA165" s="86">
        <v>2041</v>
      </c>
      <c r="AB165" s="86">
        <v>2042</v>
      </c>
      <c r="AC165" s="86">
        <v>2043</v>
      </c>
    </row>
    <row r="166" spans="1:29" ht="15.75" customHeight="1" thickBot="1">
      <c r="A166" s="458" t="s">
        <v>47</v>
      </c>
      <c r="B166" s="458"/>
      <c r="C166" s="458"/>
      <c r="D166" s="87">
        <v>309277</v>
      </c>
      <c r="E166" s="88">
        <v>314307.58</v>
      </c>
      <c r="F166" s="88">
        <v>316853.46999999997</v>
      </c>
      <c r="G166" s="88">
        <v>319419.98</v>
      </c>
      <c r="H166" s="88">
        <v>322007.28999999998</v>
      </c>
      <c r="I166" s="88">
        <v>324615.53999999998</v>
      </c>
      <c r="J166" s="88">
        <v>327244.93</v>
      </c>
      <c r="K166" s="88">
        <v>329895.61</v>
      </c>
      <c r="L166" s="88">
        <v>332567.77</v>
      </c>
      <c r="M166" s="88">
        <v>335261.57</v>
      </c>
      <c r="N166" s="88">
        <v>337977.19</v>
      </c>
      <c r="O166" s="88">
        <v>340714.8</v>
      </c>
      <c r="P166" s="87">
        <v>343474.59</v>
      </c>
      <c r="Q166" s="87">
        <v>346256.74</v>
      </c>
      <c r="R166" s="87">
        <v>349061.42</v>
      </c>
      <c r="S166" s="87">
        <v>351888.81</v>
      </c>
      <c r="T166" s="87">
        <v>354739.11</v>
      </c>
      <c r="U166" s="87">
        <v>357612.5</v>
      </c>
      <c r="V166" s="87">
        <v>360509.16</v>
      </c>
      <c r="W166" s="87">
        <v>363429.28</v>
      </c>
      <c r="X166" s="87">
        <v>366373.06</v>
      </c>
      <c r="Y166" s="87">
        <v>369340.68</v>
      </c>
      <c r="Z166" s="87">
        <v>372332.34</v>
      </c>
      <c r="AA166" s="87">
        <v>375348.23</v>
      </c>
      <c r="AB166" s="87">
        <v>378388.56</v>
      </c>
      <c r="AC166" s="87">
        <v>381453.5</v>
      </c>
    </row>
    <row r="167" spans="1:29" ht="15.75" customHeight="1" thickBot="1">
      <c r="A167" s="459" t="s">
        <v>124</v>
      </c>
      <c r="B167" s="462" t="s">
        <v>117</v>
      </c>
      <c r="C167" s="463"/>
      <c r="D167" s="88">
        <v>86.75</v>
      </c>
      <c r="E167" s="88">
        <v>88.16</v>
      </c>
      <c r="F167" s="88">
        <v>88.88</v>
      </c>
      <c r="G167" s="88">
        <v>89.6</v>
      </c>
      <c r="H167" s="88">
        <v>90.32</v>
      </c>
      <c r="I167" s="88">
        <v>91.05</v>
      </c>
      <c r="J167" s="88">
        <v>91.79</v>
      </c>
      <c r="K167" s="88">
        <v>92.54</v>
      </c>
      <c r="L167" s="88">
        <v>93.29</v>
      </c>
      <c r="M167" s="88">
        <v>94.04</v>
      </c>
      <c r="N167" s="88">
        <v>94.8</v>
      </c>
      <c r="O167" s="88">
        <v>95.57</v>
      </c>
      <c r="P167" s="87">
        <v>96.34</v>
      </c>
      <c r="Q167" s="87">
        <v>97.13</v>
      </c>
      <c r="R167" s="87">
        <v>97.91</v>
      </c>
      <c r="S167" s="87">
        <v>98.7</v>
      </c>
      <c r="T167" s="87">
        <v>99.5</v>
      </c>
      <c r="U167" s="87">
        <v>100.31</v>
      </c>
      <c r="V167" s="87">
        <v>101.12</v>
      </c>
      <c r="W167" s="87">
        <v>101.94</v>
      </c>
      <c r="X167" s="87">
        <v>102.77</v>
      </c>
      <c r="Y167" s="87">
        <v>103.6</v>
      </c>
      <c r="Z167" s="87">
        <v>104.44</v>
      </c>
      <c r="AA167" s="87">
        <v>105.29</v>
      </c>
      <c r="AB167" s="87">
        <v>106.14</v>
      </c>
      <c r="AC167" s="87">
        <v>107</v>
      </c>
    </row>
    <row r="168" spans="1:29" ht="16" thickBot="1">
      <c r="A168" s="460"/>
      <c r="B168" s="457" t="s">
        <v>118</v>
      </c>
      <c r="C168" s="463"/>
      <c r="D168" s="87">
        <v>2602.5700000000002</v>
      </c>
      <c r="E168" s="87">
        <v>2644.9</v>
      </c>
      <c r="F168" s="88">
        <v>2666.32</v>
      </c>
      <c r="G168" s="88">
        <v>2687.92</v>
      </c>
      <c r="H168" s="88">
        <v>2709.69</v>
      </c>
      <c r="I168" s="88">
        <v>2731.64</v>
      </c>
      <c r="J168" s="88">
        <v>2753.77</v>
      </c>
      <c r="K168" s="88">
        <v>2776.07</v>
      </c>
      <c r="L168" s="88">
        <v>2798.56</v>
      </c>
      <c r="M168" s="88">
        <v>2821.23</v>
      </c>
      <c r="N168" s="88">
        <v>2844.08</v>
      </c>
      <c r="O168" s="88">
        <v>2867.12</v>
      </c>
      <c r="P168" s="87">
        <v>2890.34</v>
      </c>
      <c r="Q168" s="87">
        <v>2913.75</v>
      </c>
      <c r="R168" s="87">
        <v>2937.35</v>
      </c>
      <c r="S168" s="87">
        <v>2961.14</v>
      </c>
      <c r="T168" s="87">
        <v>2985.13</v>
      </c>
      <c r="U168" s="87">
        <v>3009.31</v>
      </c>
      <c r="V168" s="87">
        <v>3033.68</v>
      </c>
      <c r="W168" s="87">
        <v>3058.26</v>
      </c>
      <c r="X168" s="87">
        <v>3083.03</v>
      </c>
      <c r="Y168" s="87">
        <v>3108</v>
      </c>
      <c r="Z168" s="87">
        <v>3133.18</v>
      </c>
      <c r="AA168" s="87">
        <v>3158.56</v>
      </c>
      <c r="AB168" s="87">
        <v>3184.14</v>
      </c>
      <c r="AC168" s="87">
        <v>3209.93</v>
      </c>
    </row>
    <row r="169" spans="1:29" ht="16" thickBot="1">
      <c r="A169" s="460"/>
      <c r="B169" s="107" t="s">
        <v>119</v>
      </c>
      <c r="C169" s="85" t="s">
        <v>120</v>
      </c>
      <c r="D169" s="88">
        <v>31664.55</v>
      </c>
      <c r="E169" s="88">
        <v>32179.599999999999</v>
      </c>
      <c r="F169" s="88">
        <v>32440.25</v>
      </c>
      <c r="G169" s="88">
        <v>32703.02</v>
      </c>
      <c r="H169" s="88">
        <v>32967.910000000003</v>
      </c>
      <c r="I169" s="88">
        <v>33234.949999999997</v>
      </c>
      <c r="J169" s="88">
        <v>33504.15</v>
      </c>
      <c r="K169" s="88">
        <v>33775.54</v>
      </c>
      <c r="L169" s="88">
        <v>34049.120000000003</v>
      </c>
      <c r="M169" s="88">
        <v>34324.92</v>
      </c>
      <c r="N169" s="88">
        <v>34602.949999999997</v>
      </c>
      <c r="O169" s="88">
        <v>34883.230000000003</v>
      </c>
      <c r="P169" s="87">
        <v>35165.79</v>
      </c>
      <c r="Q169" s="87">
        <v>35450.629999999997</v>
      </c>
      <c r="R169" s="87">
        <v>35737.78</v>
      </c>
      <c r="S169" s="87">
        <v>36027.26</v>
      </c>
      <c r="T169" s="87">
        <v>36319.08</v>
      </c>
      <c r="U169" s="87">
        <v>36613.26</v>
      </c>
      <c r="V169" s="87">
        <v>36909.83</v>
      </c>
      <c r="W169" s="87">
        <v>37208.800000000003</v>
      </c>
      <c r="X169" s="87">
        <v>37510.19</v>
      </c>
      <c r="Y169" s="87">
        <v>37814.019999999997</v>
      </c>
      <c r="Z169" s="87">
        <v>38120.32</v>
      </c>
      <c r="AA169" s="87">
        <v>38429.089999999997</v>
      </c>
      <c r="AB169" s="87">
        <v>38740.370000000003</v>
      </c>
      <c r="AC169" s="87">
        <v>39054.160000000003</v>
      </c>
    </row>
    <row r="170" spans="1:29" ht="16" thickBot="1">
      <c r="A170" s="461"/>
      <c r="B170" s="458" t="s">
        <v>121</v>
      </c>
      <c r="C170" s="464"/>
      <c r="D170" s="88">
        <v>31664.55</v>
      </c>
      <c r="E170" s="88">
        <v>63844.15</v>
      </c>
      <c r="F170" s="88">
        <v>96284.4</v>
      </c>
      <c r="G170" s="88">
        <v>128987.42</v>
      </c>
      <c r="H170" s="88">
        <v>161955.32999999999</v>
      </c>
      <c r="I170" s="88">
        <v>195190.28</v>
      </c>
      <c r="J170" s="88">
        <v>228694.43</v>
      </c>
      <c r="K170" s="88">
        <v>262469.96999999997</v>
      </c>
      <c r="L170" s="88">
        <v>296519.09000000003</v>
      </c>
      <c r="M170" s="88">
        <v>330844.01</v>
      </c>
      <c r="N170" s="88">
        <v>365446.96</v>
      </c>
      <c r="O170" s="88">
        <v>400330.19</v>
      </c>
      <c r="P170" s="88">
        <v>435495.98</v>
      </c>
      <c r="Q170" s="88">
        <v>470946.61</v>
      </c>
      <c r="R170" s="88">
        <v>506684.39</v>
      </c>
      <c r="S170" s="88">
        <v>542711.64</v>
      </c>
      <c r="T170" s="88">
        <v>579030.72</v>
      </c>
      <c r="U170" s="88">
        <v>615643.98</v>
      </c>
      <c r="V170" s="88">
        <v>652553.81000000006</v>
      </c>
      <c r="W170" s="88">
        <v>689762.61</v>
      </c>
      <c r="X170" s="88">
        <v>727272.8</v>
      </c>
      <c r="Y170" s="88">
        <v>765086.82</v>
      </c>
      <c r="Z170" s="88">
        <v>803207.14</v>
      </c>
      <c r="AA170" s="88">
        <v>841636.23</v>
      </c>
      <c r="AB170" s="88">
        <v>880376.59</v>
      </c>
      <c r="AC170" s="88">
        <v>919430.76</v>
      </c>
    </row>
    <row r="172" spans="1:29" ht="16" thickBot="1"/>
    <row r="173" spans="1:29" ht="16" thickBot="1">
      <c r="A173" s="457" t="s">
        <v>115</v>
      </c>
      <c r="B173" s="457"/>
      <c r="C173" s="457"/>
      <c r="D173">
        <f>D165</f>
        <v>2018</v>
      </c>
      <c r="E173" s="39">
        <f t="shared" ref="E173:AC173" si="36">E165</f>
        <v>2019</v>
      </c>
      <c r="F173" s="39">
        <f t="shared" si="36"/>
        <v>2020</v>
      </c>
      <c r="G173" s="39">
        <f t="shared" si="36"/>
        <v>2021</v>
      </c>
      <c r="H173" s="39">
        <f t="shared" si="36"/>
        <v>2022</v>
      </c>
      <c r="I173" s="39">
        <f t="shared" si="36"/>
        <v>2023</v>
      </c>
      <c r="J173" s="39">
        <f t="shared" si="36"/>
        <v>2024</v>
      </c>
      <c r="K173" s="39">
        <f t="shared" si="36"/>
        <v>2025</v>
      </c>
      <c r="L173" s="39">
        <f t="shared" si="36"/>
        <v>2026</v>
      </c>
      <c r="M173" s="39">
        <f t="shared" si="36"/>
        <v>2027</v>
      </c>
      <c r="N173" s="39">
        <f t="shared" si="36"/>
        <v>2028</v>
      </c>
      <c r="O173" s="39">
        <f t="shared" si="36"/>
        <v>2029</v>
      </c>
      <c r="P173" s="39">
        <f t="shared" si="36"/>
        <v>2030</v>
      </c>
      <c r="Q173" s="39">
        <f t="shared" si="36"/>
        <v>2031</v>
      </c>
      <c r="R173" s="39">
        <f t="shared" si="36"/>
        <v>2032</v>
      </c>
      <c r="S173" s="39">
        <f t="shared" si="36"/>
        <v>2033</v>
      </c>
      <c r="T173" s="39">
        <f t="shared" si="36"/>
        <v>2034</v>
      </c>
      <c r="U173" s="39">
        <f t="shared" si="36"/>
        <v>2035</v>
      </c>
      <c r="V173" s="39">
        <f t="shared" si="36"/>
        <v>2036</v>
      </c>
      <c r="W173" s="39">
        <f t="shared" si="36"/>
        <v>2037</v>
      </c>
      <c r="X173" s="39">
        <f t="shared" si="36"/>
        <v>2038</v>
      </c>
      <c r="Y173" s="39">
        <f t="shared" si="36"/>
        <v>2039</v>
      </c>
      <c r="Z173" s="39">
        <f t="shared" si="36"/>
        <v>2040</v>
      </c>
      <c r="AA173" s="39">
        <f t="shared" si="36"/>
        <v>2041</v>
      </c>
      <c r="AB173" s="39">
        <f t="shared" si="36"/>
        <v>2042</v>
      </c>
      <c r="AC173" s="39">
        <f t="shared" si="36"/>
        <v>2043</v>
      </c>
    </row>
    <row r="174" spans="1:29" ht="16" thickBot="1">
      <c r="A174" s="458" t="s">
        <v>47</v>
      </c>
      <c r="B174" s="458"/>
      <c r="C174" s="458"/>
      <c r="D174">
        <f>D166</f>
        <v>309277</v>
      </c>
      <c r="E174" s="39">
        <f t="shared" ref="E174:AC174" si="37">E166</f>
        <v>314307.58</v>
      </c>
      <c r="F174" s="39">
        <f t="shared" si="37"/>
        <v>316853.46999999997</v>
      </c>
      <c r="G174" s="39">
        <f t="shared" si="37"/>
        <v>319419.98</v>
      </c>
      <c r="H174" s="39">
        <f t="shared" si="37"/>
        <v>322007.28999999998</v>
      </c>
      <c r="I174" s="39">
        <f t="shared" si="37"/>
        <v>324615.53999999998</v>
      </c>
      <c r="J174" s="39">
        <f t="shared" si="37"/>
        <v>327244.93</v>
      </c>
      <c r="K174" s="39">
        <f t="shared" si="37"/>
        <v>329895.61</v>
      </c>
      <c r="L174" s="39">
        <f t="shared" si="37"/>
        <v>332567.77</v>
      </c>
      <c r="M174" s="39">
        <f t="shared" si="37"/>
        <v>335261.57</v>
      </c>
      <c r="N174" s="39">
        <f t="shared" si="37"/>
        <v>337977.19</v>
      </c>
      <c r="O174" s="39">
        <f t="shared" si="37"/>
        <v>340714.8</v>
      </c>
      <c r="P174" s="39">
        <f t="shared" si="37"/>
        <v>343474.59</v>
      </c>
      <c r="Q174" s="39">
        <f t="shared" si="37"/>
        <v>346256.74</v>
      </c>
      <c r="R174" s="39">
        <f t="shared" si="37"/>
        <v>349061.42</v>
      </c>
      <c r="S174" s="39">
        <f t="shared" si="37"/>
        <v>351888.81</v>
      </c>
      <c r="T174" s="39">
        <f t="shared" si="37"/>
        <v>354739.11</v>
      </c>
      <c r="U174" s="39">
        <f t="shared" si="37"/>
        <v>357612.5</v>
      </c>
      <c r="V174" s="39">
        <f t="shared" si="37"/>
        <v>360509.16</v>
      </c>
      <c r="W174" s="39">
        <f t="shared" si="37"/>
        <v>363429.28</v>
      </c>
      <c r="X174" s="39">
        <f t="shared" si="37"/>
        <v>366373.06</v>
      </c>
      <c r="Y174" s="39">
        <f t="shared" si="37"/>
        <v>369340.68</v>
      </c>
      <c r="Z174" s="39">
        <f t="shared" si="37"/>
        <v>372332.34</v>
      </c>
      <c r="AA174" s="39">
        <f t="shared" si="37"/>
        <v>375348.23</v>
      </c>
      <c r="AB174" s="39">
        <f t="shared" si="37"/>
        <v>378388.56</v>
      </c>
      <c r="AC174" s="39">
        <f t="shared" si="37"/>
        <v>381453.5</v>
      </c>
    </row>
    <row r="175" spans="1:29" ht="16" thickBot="1">
      <c r="A175" s="459" t="s">
        <v>686</v>
      </c>
      <c r="B175" s="462" t="s">
        <v>117</v>
      </c>
      <c r="C175" s="463"/>
    </row>
    <row r="176" spans="1:29" ht="16" thickBot="1">
      <c r="A176" s="460"/>
      <c r="B176" s="457" t="s">
        <v>118</v>
      </c>
      <c r="C176" s="463"/>
    </row>
    <row r="177" spans="1:29" ht="16" thickBot="1">
      <c r="A177" s="460"/>
      <c r="B177" s="286" t="s">
        <v>119</v>
      </c>
      <c r="C177" s="85" t="s">
        <v>120</v>
      </c>
      <c r="D177">
        <f>D174*0.5</f>
        <v>154638.5</v>
      </c>
      <c r="E177" s="39">
        <f t="shared" ref="E177:AC177" si="38">E174*0.5</f>
        <v>157153.79</v>
      </c>
      <c r="F177" s="39">
        <f t="shared" si="38"/>
        <v>158426.73499999999</v>
      </c>
      <c r="G177" s="39">
        <f t="shared" si="38"/>
        <v>159709.99</v>
      </c>
      <c r="H177" s="39">
        <f t="shared" si="38"/>
        <v>161003.64499999999</v>
      </c>
      <c r="I177" s="39">
        <f t="shared" si="38"/>
        <v>162307.76999999999</v>
      </c>
      <c r="J177" s="39">
        <f t="shared" si="38"/>
        <v>163622.465</v>
      </c>
      <c r="K177" s="39">
        <f t="shared" si="38"/>
        <v>164947.80499999999</v>
      </c>
      <c r="L177" s="39">
        <f t="shared" si="38"/>
        <v>166283.88500000001</v>
      </c>
      <c r="M177" s="39">
        <f t="shared" si="38"/>
        <v>167630.785</v>
      </c>
      <c r="N177" s="39">
        <f t="shared" si="38"/>
        <v>168988.595</v>
      </c>
      <c r="O177" s="39">
        <f t="shared" si="38"/>
        <v>170357.4</v>
      </c>
      <c r="P177" s="39">
        <f t="shared" si="38"/>
        <v>171737.29500000001</v>
      </c>
      <c r="Q177" s="39">
        <f t="shared" si="38"/>
        <v>173128.37</v>
      </c>
      <c r="R177" s="39">
        <f t="shared" si="38"/>
        <v>174530.71</v>
      </c>
      <c r="S177" s="39">
        <f t="shared" si="38"/>
        <v>175944.405</v>
      </c>
      <c r="T177" s="39">
        <f t="shared" si="38"/>
        <v>177369.55499999999</v>
      </c>
      <c r="U177" s="39">
        <f t="shared" si="38"/>
        <v>178806.25</v>
      </c>
      <c r="V177" s="39">
        <f t="shared" si="38"/>
        <v>180254.58</v>
      </c>
      <c r="W177" s="39">
        <f t="shared" si="38"/>
        <v>181714.64</v>
      </c>
      <c r="X177" s="39">
        <f t="shared" si="38"/>
        <v>183186.53</v>
      </c>
      <c r="Y177" s="39">
        <f t="shared" si="38"/>
        <v>184670.34</v>
      </c>
      <c r="Z177" s="39">
        <f t="shared" si="38"/>
        <v>186166.17</v>
      </c>
      <c r="AA177" s="39">
        <f t="shared" si="38"/>
        <v>187674.11499999999</v>
      </c>
      <c r="AB177" s="39">
        <f t="shared" si="38"/>
        <v>189194.28</v>
      </c>
      <c r="AC177" s="39">
        <f t="shared" si="38"/>
        <v>190726.75</v>
      </c>
    </row>
    <row r="178" spans="1:29" ht="16" thickBot="1">
      <c r="A178" s="461"/>
      <c r="B178" s="458" t="s">
        <v>121</v>
      </c>
      <c r="C178" s="464"/>
    </row>
  </sheetData>
  <mergeCells count="54">
    <mergeCell ref="A173:C173"/>
    <mergeCell ref="A174:C174"/>
    <mergeCell ref="A175:A178"/>
    <mergeCell ref="B175:C175"/>
    <mergeCell ref="B176:C176"/>
    <mergeCell ref="B178:C178"/>
    <mergeCell ref="P12:R12"/>
    <mergeCell ref="D9:F9"/>
    <mergeCell ref="G9:J9"/>
    <mergeCell ref="A114:A116"/>
    <mergeCell ref="B114:B116"/>
    <mergeCell ref="C114:F114"/>
    <mergeCell ref="C115:C116"/>
    <mergeCell ref="D115:D116"/>
    <mergeCell ref="F115:F116"/>
    <mergeCell ref="A84:A86"/>
    <mergeCell ref="B84:B86"/>
    <mergeCell ref="C84:F84"/>
    <mergeCell ref="C85:C86"/>
    <mergeCell ref="D85:D86"/>
    <mergeCell ref="F85:F86"/>
    <mergeCell ref="A46:B46"/>
    <mergeCell ref="G54:G55"/>
    <mergeCell ref="A1:D1"/>
    <mergeCell ref="A41:I41"/>
    <mergeCell ref="A8:F8"/>
    <mergeCell ref="A44:B44"/>
    <mergeCell ref="A45:B45"/>
    <mergeCell ref="D42:E42"/>
    <mergeCell ref="A47:B47"/>
    <mergeCell ref="A53:A55"/>
    <mergeCell ref="B53:B55"/>
    <mergeCell ref="C53:F53"/>
    <mergeCell ref="C54:C55"/>
    <mergeCell ref="D54:D55"/>
    <mergeCell ref="F54:F55"/>
    <mergeCell ref="A148:C148"/>
    <mergeCell ref="A149:C149"/>
    <mergeCell ref="A150:A153"/>
    <mergeCell ref="B150:C150"/>
    <mergeCell ref="B151:C151"/>
    <mergeCell ref="B153:C153"/>
    <mergeCell ref="A157:C157"/>
    <mergeCell ref="A158:C158"/>
    <mergeCell ref="A159:A162"/>
    <mergeCell ref="B159:C159"/>
    <mergeCell ref="B160:C160"/>
    <mergeCell ref="B162:C162"/>
    <mergeCell ref="A165:C165"/>
    <mergeCell ref="A166:C166"/>
    <mergeCell ref="A167:A170"/>
    <mergeCell ref="B167:C167"/>
    <mergeCell ref="B168:C168"/>
    <mergeCell ref="B170:C170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E39"/>
  <sheetViews>
    <sheetView zoomScale="125" workbookViewId="0">
      <selection activeCell="L20" sqref="L20"/>
    </sheetView>
  </sheetViews>
  <sheetFormatPr baseColWidth="10" defaultColWidth="8.83203125" defaultRowHeight="15"/>
  <cols>
    <col min="1" max="1" width="18" customWidth="1"/>
    <col min="2" max="2" width="13.83203125" bestFit="1" customWidth="1"/>
    <col min="8" max="8" width="10.1640625" bestFit="1" customWidth="1"/>
    <col min="19" max="19" width="12.5" bestFit="1" customWidth="1"/>
  </cols>
  <sheetData>
    <row r="1" spans="1:26">
      <c r="A1" s="486" t="s">
        <v>88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</row>
    <row r="2" spans="1:26">
      <c r="A2" s="487"/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  <c r="N2" s="487"/>
      <c r="O2" s="487"/>
      <c r="P2" s="487"/>
      <c r="Q2" s="487"/>
      <c r="R2" s="487"/>
    </row>
    <row r="3" spans="1:26" ht="16">
      <c r="A3" s="491" t="s">
        <v>89</v>
      </c>
      <c r="B3" s="492"/>
      <c r="C3" s="72">
        <v>25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26">
      <c r="A4" s="57" t="s">
        <v>37</v>
      </c>
      <c r="B4" s="58" t="s">
        <v>90</v>
      </c>
      <c r="C4" s="58" t="s">
        <v>91</v>
      </c>
      <c r="D4" s="59" t="s">
        <v>156</v>
      </c>
      <c r="E4" s="59" t="s">
        <v>92</v>
      </c>
      <c r="F4" s="488" t="s">
        <v>93</v>
      </c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90"/>
      <c r="S4">
        <f>37388+25028</f>
        <v>62416</v>
      </c>
    </row>
    <row r="5" spans="1:26">
      <c r="A5" s="60">
        <v>1</v>
      </c>
      <c r="B5" s="58" t="s">
        <v>94</v>
      </c>
      <c r="C5" s="58" t="s">
        <v>688</v>
      </c>
      <c r="D5" s="61">
        <f>Gravimetria!E47</f>
        <v>7996.0991041666666</v>
      </c>
      <c r="E5" s="450">
        <f>60*1.2318</f>
        <v>73.908000000000001</v>
      </c>
      <c r="F5" s="71" t="s">
        <v>96</v>
      </c>
      <c r="G5" s="63"/>
      <c r="H5" s="64">
        <v>0</v>
      </c>
      <c r="I5" s="63"/>
      <c r="J5" s="63"/>
      <c r="K5" s="63"/>
      <c r="L5" s="63"/>
      <c r="M5" s="63"/>
      <c r="N5" s="63"/>
      <c r="O5" s="63"/>
      <c r="P5" s="63"/>
      <c r="Q5" s="63"/>
      <c r="R5" s="65"/>
      <c r="S5" s="438">
        <f>S4*28%</f>
        <v>17476.480000000003</v>
      </c>
    </row>
    <row r="6" spans="1:26">
      <c r="A6" s="70">
        <f>Gravimetria!C44</f>
        <v>0.24479999999999999</v>
      </c>
      <c r="B6" s="58" t="s">
        <v>97</v>
      </c>
      <c r="C6" s="58" t="s">
        <v>95</v>
      </c>
      <c r="D6" s="61">
        <f>Gravimetria!E44*(1-H6)</f>
        <v>782.97802427999989</v>
      </c>
      <c r="E6" s="69">
        <f>Gravimetria!G44</f>
        <v>710.78562132352954</v>
      </c>
      <c r="F6" s="62" t="s">
        <v>455</v>
      </c>
      <c r="G6" s="63"/>
      <c r="H6" s="64">
        <v>0.6</v>
      </c>
      <c r="I6" s="63"/>
      <c r="J6" s="63"/>
      <c r="K6" s="63"/>
      <c r="L6" s="63"/>
      <c r="M6" s="63"/>
      <c r="N6" s="63"/>
      <c r="O6" s="63"/>
      <c r="P6" s="63"/>
      <c r="Q6" s="63"/>
      <c r="R6" s="65"/>
    </row>
    <row r="7" spans="1:26">
      <c r="A7" s="70">
        <f>Gravimetria!C45</f>
        <v>0.52590000000000003</v>
      </c>
      <c r="B7" s="58" t="s">
        <v>98</v>
      </c>
      <c r="C7" s="58" t="s">
        <v>95</v>
      </c>
      <c r="D7" s="358">
        <f>Gravimetria!E45*(1-H7)</f>
        <v>4205.1485188812503</v>
      </c>
      <c r="E7" s="69">
        <f>21.26*1.2318</f>
        <v>26.188068000000001</v>
      </c>
      <c r="F7" s="71" t="s">
        <v>99</v>
      </c>
      <c r="G7" s="63"/>
      <c r="H7" s="449">
        <v>0</v>
      </c>
      <c r="I7" s="66" t="s">
        <v>126</v>
      </c>
      <c r="J7" s="66"/>
      <c r="K7" s="66"/>
      <c r="L7" s="66"/>
      <c r="M7" s="66"/>
      <c r="N7" s="66"/>
      <c r="O7" s="66"/>
      <c r="P7" s="66"/>
      <c r="Q7" s="66"/>
      <c r="R7" s="67"/>
    </row>
    <row r="8" spans="1:26" s="39" customFormat="1">
      <c r="A8" s="70" t="s">
        <v>689</v>
      </c>
      <c r="B8" s="58" t="s">
        <v>687</v>
      </c>
      <c r="C8" s="58" t="s">
        <v>344</v>
      </c>
      <c r="D8" s="61">
        <v>1200</v>
      </c>
      <c r="E8" s="69">
        <f>22*1.2318</f>
        <v>27.099599999999999</v>
      </c>
      <c r="F8" s="71" t="s">
        <v>96</v>
      </c>
      <c r="G8" s="63"/>
      <c r="H8" s="64">
        <v>0</v>
      </c>
      <c r="I8" s="66"/>
      <c r="J8" s="357" t="s">
        <v>764</v>
      </c>
      <c r="K8" s="357"/>
      <c r="L8" s="357"/>
      <c r="M8" s="357"/>
      <c r="N8" s="357"/>
      <c r="O8" s="357"/>
      <c r="P8" s="357"/>
      <c r="Q8" s="357"/>
      <c r="R8" s="357"/>
    </row>
    <row r="9" spans="1:26" hidden="1">
      <c r="A9" s="70">
        <f>Gravimetria!C46</f>
        <v>0.2293</v>
      </c>
      <c r="B9" s="58" t="s">
        <v>456</v>
      </c>
      <c r="C9" s="58" t="s">
        <v>95</v>
      </c>
      <c r="D9" s="61">
        <f>Gravimetria!E46*(1-H9)</f>
        <v>916.75276229270833</v>
      </c>
      <c r="E9" s="69">
        <v>50</v>
      </c>
      <c r="F9" s="71" t="s">
        <v>99</v>
      </c>
      <c r="G9" s="63"/>
      <c r="H9" s="64">
        <v>0.5</v>
      </c>
      <c r="I9" s="66"/>
    </row>
    <row r="13" spans="1:26">
      <c r="A13" s="14" t="s">
        <v>129</v>
      </c>
      <c r="B13" s="14" t="s">
        <v>131</v>
      </c>
      <c r="C13" s="14" t="s">
        <v>132</v>
      </c>
      <c r="D13" s="14" t="s">
        <v>133</v>
      </c>
      <c r="E13" s="14" t="s">
        <v>134</v>
      </c>
      <c r="F13" s="14" t="s">
        <v>135</v>
      </c>
      <c r="G13" s="14" t="s">
        <v>136</v>
      </c>
      <c r="H13" s="14" t="s">
        <v>137</v>
      </c>
      <c r="I13" s="14" t="s">
        <v>138</v>
      </c>
      <c r="J13" s="14" t="s">
        <v>139</v>
      </c>
      <c r="K13" s="14" t="s">
        <v>140</v>
      </c>
      <c r="L13" s="14" t="s">
        <v>141</v>
      </c>
      <c r="M13" s="14" t="s">
        <v>142</v>
      </c>
      <c r="N13" s="14" t="s">
        <v>143</v>
      </c>
      <c r="O13" s="14" t="s">
        <v>144</v>
      </c>
      <c r="P13" s="14" t="s">
        <v>145</v>
      </c>
      <c r="Q13" s="14" t="s">
        <v>146</v>
      </c>
      <c r="R13" s="14" t="s">
        <v>147</v>
      </c>
      <c r="S13" s="14" t="s">
        <v>148</v>
      </c>
      <c r="T13" s="14" t="s">
        <v>149</v>
      </c>
      <c r="U13" s="14" t="s">
        <v>150</v>
      </c>
      <c r="V13" s="14" t="s">
        <v>151</v>
      </c>
      <c r="W13" s="14" t="s">
        <v>152</v>
      </c>
      <c r="X13" s="14" t="s">
        <v>153</v>
      </c>
      <c r="Y13" s="14" t="s">
        <v>154</v>
      </c>
      <c r="Z13" s="14" t="s">
        <v>155</v>
      </c>
    </row>
    <row r="14" spans="1:26">
      <c r="A14" s="58" t="str">
        <f>$B$5</f>
        <v>Tarifa Municipal</v>
      </c>
      <c r="B14" s="109">
        <v>1</v>
      </c>
      <c r="C14" s="109">
        <v>1</v>
      </c>
      <c r="D14" s="109">
        <v>1</v>
      </c>
      <c r="E14" s="109">
        <v>1</v>
      </c>
      <c r="F14" s="109">
        <v>1</v>
      </c>
      <c r="G14" s="109">
        <v>1</v>
      </c>
      <c r="H14" s="109">
        <v>1</v>
      </c>
      <c r="I14" s="109">
        <v>1</v>
      </c>
      <c r="J14" s="109">
        <v>1</v>
      </c>
      <c r="K14" s="109">
        <v>1</v>
      </c>
      <c r="L14" s="109">
        <v>1</v>
      </c>
      <c r="M14" s="109">
        <v>1</v>
      </c>
      <c r="N14" s="109">
        <v>1</v>
      </c>
      <c r="O14" s="109">
        <v>1</v>
      </c>
      <c r="P14" s="109">
        <v>1</v>
      </c>
      <c r="Q14" s="109">
        <v>1</v>
      </c>
      <c r="R14" s="109">
        <v>1</v>
      </c>
      <c r="S14" s="109">
        <v>1</v>
      </c>
      <c r="T14" s="109">
        <v>1</v>
      </c>
      <c r="U14" s="109">
        <v>1</v>
      </c>
      <c r="V14" s="109">
        <v>1</v>
      </c>
      <c r="W14" s="109">
        <v>1</v>
      </c>
      <c r="X14" s="109">
        <v>1</v>
      </c>
      <c r="Y14" s="109">
        <v>1</v>
      </c>
      <c r="Z14" s="109">
        <v>1</v>
      </c>
    </row>
    <row r="15" spans="1:26">
      <c r="A15" s="58" t="str">
        <f>$B$6</f>
        <v>Materiais Recicláveis</v>
      </c>
      <c r="B15" s="109">
        <v>1</v>
      </c>
      <c r="C15" s="109">
        <v>1</v>
      </c>
      <c r="D15" s="109">
        <v>1</v>
      </c>
      <c r="E15" s="109">
        <v>1</v>
      </c>
      <c r="F15" s="109">
        <v>1</v>
      </c>
      <c r="G15" s="109">
        <v>1</v>
      </c>
      <c r="H15" s="109">
        <v>1</v>
      </c>
      <c r="I15" s="109">
        <v>1</v>
      </c>
      <c r="J15" s="109">
        <v>1</v>
      </c>
      <c r="K15" s="109">
        <v>1</v>
      </c>
      <c r="L15" s="109">
        <v>1</v>
      </c>
      <c r="M15" s="109">
        <v>1</v>
      </c>
      <c r="N15" s="109">
        <v>1</v>
      </c>
      <c r="O15" s="109">
        <v>1</v>
      </c>
      <c r="P15" s="109">
        <v>1</v>
      </c>
      <c r="Q15" s="109">
        <v>1</v>
      </c>
      <c r="R15" s="109">
        <v>1</v>
      </c>
      <c r="S15" s="109">
        <v>1</v>
      </c>
      <c r="T15" s="109">
        <v>1</v>
      </c>
      <c r="U15" s="109">
        <v>1</v>
      </c>
      <c r="V15" s="109">
        <v>1</v>
      </c>
      <c r="W15" s="109">
        <v>1</v>
      </c>
      <c r="X15" s="109">
        <v>1</v>
      </c>
      <c r="Y15" s="109">
        <v>1</v>
      </c>
      <c r="Z15" s="109">
        <v>1</v>
      </c>
    </row>
    <row r="16" spans="1:26">
      <c r="A16" s="58" t="str">
        <f>$B$7</f>
        <v>Adubo Orgânico</v>
      </c>
      <c r="B16" s="109">
        <v>1</v>
      </c>
      <c r="C16" s="109">
        <v>1</v>
      </c>
      <c r="D16" s="109">
        <v>1</v>
      </c>
      <c r="E16" s="109">
        <v>1</v>
      </c>
      <c r="F16" s="109">
        <v>1</v>
      </c>
      <c r="G16" s="109">
        <v>1</v>
      </c>
      <c r="H16" s="109">
        <v>1</v>
      </c>
      <c r="I16" s="109">
        <v>1</v>
      </c>
      <c r="J16" s="109">
        <v>1</v>
      </c>
      <c r="K16" s="109">
        <v>1</v>
      </c>
      <c r="L16" s="109">
        <v>1</v>
      </c>
      <c r="M16" s="109">
        <v>1</v>
      </c>
      <c r="N16" s="109">
        <v>1</v>
      </c>
      <c r="O16" s="109">
        <v>1</v>
      </c>
      <c r="P16" s="109">
        <v>1</v>
      </c>
      <c r="Q16" s="109">
        <v>1</v>
      </c>
      <c r="R16" s="109">
        <v>1</v>
      </c>
      <c r="S16" s="109">
        <v>1</v>
      </c>
      <c r="T16" s="109">
        <v>1</v>
      </c>
      <c r="U16" s="109">
        <v>1</v>
      </c>
      <c r="V16" s="109">
        <v>1</v>
      </c>
      <c r="W16" s="109">
        <v>1</v>
      </c>
      <c r="X16" s="109">
        <v>1</v>
      </c>
      <c r="Y16" s="109">
        <v>1</v>
      </c>
      <c r="Z16" s="109">
        <v>1</v>
      </c>
    </row>
    <row r="17" spans="1:317" s="39" customFormat="1">
      <c r="A17" s="58" t="s">
        <v>687</v>
      </c>
      <c r="B17" s="109">
        <v>1</v>
      </c>
      <c r="C17" s="109">
        <v>1</v>
      </c>
      <c r="D17" s="109">
        <v>1</v>
      </c>
      <c r="E17" s="109">
        <v>1</v>
      </c>
      <c r="F17" s="109">
        <v>1</v>
      </c>
      <c r="G17" s="109">
        <v>1</v>
      </c>
      <c r="H17" s="109">
        <v>1</v>
      </c>
      <c r="I17" s="109">
        <v>1</v>
      </c>
      <c r="J17" s="109">
        <v>1</v>
      </c>
      <c r="K17" s="109">
        <v>1</v>
      </c>
      <c r="L17" s="109">
        <v>1</v>
      </c>
      <c r="M17" s="109">
        <v>1</v>
      </c>
      <c r="N17" s="109">
        <v>1</v>
      </c>
      <c r="O17" s="109">
        <v>1</v>
      </c>
      <c r="P17" s="109">
        <v>1</v>
      </c>
      <c r="Q17" s="109">
        <v>1</v>
      </c>
      <c r="R17" s="109">
        <v>1</v>
      </c>
      <c r="S17" s="109">
        <v>1</v>
      </c>
      <c r="T17" s="109">
        <v>1</v>
      </c>
      <c r="U17" s="109">
        <v>1</v>
      </c>
      <c r="V17" s="109">
        <v>1</v>
      </c>
      <c r="W17" s="109">
        <v>1</v>
      </c>
      <c r="X17" s="109">
        <v>1</v>
      </c>
      <c r="Y17" s="109">
        <v>1</v>
      </c>
      <c r="Z17" s="109">
        <v>1</v>
      </c>
    </row>
    <row r="18" spans="1:317">
      <c r="A18" s="493" t="s">
        <v>412</v>
      </c>
      <c r="B18" s="493"/>
      <c r="C18" s="493"/>
      <c r="D18" s="108">
        <v>6.9199999999999998E-2</v>
      </c>
      <c r="E18" t="s">
        <v>768</v>
      </c>
    </row>
    <row r="20" spans="1:317">
      <c r="A20" t="s">
        <v>771</v>
      </c>
    </row>
    <row r="21" spans="1:317">
      <c r="A21" t="s">
        <v>159</v>
      </c>
    </row>
    <row r="23" spans="1:317">
      <c r="A23" s="57" t="s">
        <v>37</v>
      </c>
      <c r="B23" s="485" t="s">
        <v>157</v>
      </c>
      <c r="C23" s="485"/>
      <c r="D23" s="485"/>
      <c r="E23" s="485"/>
      <c r="F23" s="58">
        <v>1</v>
      </c>
      <c r="G23" s="58">
        <v>2</v>
      </c>
      <c r="H23" s="58">
        <v>3</v>
      </c>
      <c r="I23" s="58">
        <v>4</v>
      </c>
      <c r="J23" s="58">
        <v>5</v>
      </c>
      <c r="K23" s="58">
        <v>6</v>
      </c>
      <c r="L23" s="58">
        <v>7</v>
      </c>
      <c r="M23" s="58">
        <v>8</v>
      </c>
      <c r="N23" s="58">
        <v>9</v>
      </c>
      <c r="O23" s="58">
        <v>10</v>
      </c>
      <c r="P23" s="58">
        <v>11</v>
      </c>
      <c r="Q23" s="58">
        <v>12</v>
      </c>
      <c r="R23" s="58">
        <v>13</v>
      </c>
      <c r="S23" s="58">
        <v>14</v>
      </c>
      <c r="T23" s="58">
        <v>15</v>
      </c>
      <c r="U23" s="58">
        <v>16</v>
      </c>
      <c r="V23" s="58">
        <v>17</v>
      </c>
      <c r="W23" s="58">
        <v>18</v>
      </c>
      <c r="X23" s="58">
        <v>19</v>
      </c>
      <c r="Y23" s="58">
        <v>20</v>
      </c>
      <c r="Z23" s="58">
        <v>21</v>
      </c>
      <c r="AA23" s="58">
        <v>22</v>
      </c>
      <c r="AB23" s="58">
        <v>23</v>
      </c>
      <c r="AC23" s="58">
        <v>24</v>
      </c>
      <c r="AD23" s="58">
        <v>25</v>
      </c>
    </row>
    <row r="24" spans="1:317">
      <c r="A24" s="95"/>
      <c r="B24" s="57" t="s">
        <v>127</v>
      </c>
      <c r="C24" s="96"/>
      <c r="D24" s="96" t="s">
        <v>128</v>
      </c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58" t="s">
        <v>30</v>
      </c>
    </row>
    <row r="25" spans="1:317">
      <c r="A25" s="97" t="s">
        <v>41</v>
      </c>
      <c r="B25" s="58" t="str">
        <f>$B$5</f>
        <v>Tarifa Municipal</v>
      </c>
      <c r="C25" s="58"/>
      <c r="D25" s="99">
        <f>$E$5*-($H$5-100%)</f>
        <v>73.908000000000001</v>
      </c>
      <c r="E25" s="60"/>
      <c r="F25" s="104">
        <f>Gravimetria!E152*($D25*(1+$D$18)^(F23-1))*B14</f>
        <v>7207059.2941740602</v>
      </c>
      <c r="G25" s="104">
        <f>Gravimetria!F152*($D$25*(1+$D$18)^(G23-1))*C14</f>
        <v>7768204.6442149244</v>
      </c>
      <c r="H25" s="104">
        <f>Gravimetria!G152*($D$25*(1+$D$18)^(H23-1))*D14</f>
        <v>8373041.0158352917</v>
      </c>
      <c r="I25" s="104">
        <f>Gravimetria!H152*($D$25*(1+$D$18)^(I23-1))*E14</f>
        <v>9024970.5720677618</v>
      </c>
      <c r="J25" s="104">
        <f>Gravimetria!I152*($D$25*(1+$D$18)^(J23-1))*F14</f>
        <v>9727659.2026249096</v>
      </c>
      <c r="K25" s="104">
        <f>Gravimetria!J152*($D$25*(1+$D$18)^(K23-1))*G14</f>
        <v>10485059.93872278</v>
      </c>
      <c r="L25" s="104">
        <f>Gravimetria!K152*($D$25*(1+$D$18)^(L23-1))*H14</f>
        <v>11301432.023047758</v>
      </c>
      <c r="M25" s="104">
        <f>Gravimetria!L152*($D$25*(1+$D$18)^(M23-1))*I14</f>
        <v>12181367.600723222</v>
      </c>
      <c r="N25" s="104">
        <f>Gravimetria!M152*($D$25*(1+$D$18)^(N23-1))*J14</f>
        <v>13129815.25805684</v>
      </c>
      <c r="O25" s="104">
        <f>Gravimetria!N152*($D$25*(1+$D$18)^(O23-1))*K14</f>
        <v>14152109.555276103</v>
      </c>
      <c r="P25" s="104">
        <f>Gravimetria!O152*($D$25*(1+$D$18)^(P23-1))*L14</f>
        <v>15253999.92979379</v>
      </c>
      <c r="Q25" s="104">
        <f>Gravimetria!P152*($D$25*(1+$D$18)^(Q23-1))*M14</f>
        <v>16441684.302151743</v>
      </c>
      <c r="R25" s="104">
        <f>Gravimetria!Q152*($D$25*(1+$D$18)^(R23-1))*N14</f>
        <v>17721842.689518992</v>
      </c>
      <c r="S25" s="104">
        <f>Gravimetria!R152*($D$25*(1+$D$18)^(S23-1))*O14</f>
        <v>19101674.598900665</v>
      </c>
      <c r="T25" s="104">
        <f>Gravimetria!S152*($D$25*(1+$D$18)^(T23-1))*P14</f>
        <v>20588940.477101412</v>
      </c>
      <c r="U25" s="104">
        <f>Gravimetria!T152*($D$25*(1+$D$18)^(U23-1))*Q14</f>
        <v>22192006.128872558</v>
      </c>
      <c r="V25" s="104">
        <f>Gravimetria!U152*($D$25*(1+$D$18)^(V23-1))*R14</f>
        <v>23919887.48055248</v>
      </c>
      <c r="W25" s="104">
        <f>Gravimetria!V152*($D$25*(1+$D$18)^(W23-1))*S14</f>
        <v>25782302.268734332</v>
      </c>
      <c r="X25" s="104">
        <f>Gravimetria!W152*($D$25*(1+$D$18)^(X23-1))*T14</f>
        <v>27789725.40932681</v>
      </c>
      <c r="Y25" s="104">
        <f>Gravimetria!X152*($D$25*(1+$D$18)^(Y23-1))*U14</f>
        <v>29953448.111889143</v>
      </c>
      <c r="Z25" s="104">
        <f>Gravimetria!Y152*($D$25*(1+$D$18)^(Z23-1))*V14</f>
        <v>32285639.001551997</v>
      </c>
      <c r="AA25" s="104">
        <f>Gravimetria!Z152*($D$25*(1+$D$18)^(AA23-1))*W14</f>
        <v>34799415.688729063</v>
      </c>
      <c r="AB25" s="104">
        <f>Gravimetria!AA152*($D$25*(1+$D$18)^(AB23-1))*X14</f>
        <v>37508916.094684526</v>
      </c>
      <c r="AC25" s="104">
        <f>Gravimetria!AB152*($D$25*(1+$D$18)^(AC23-1))*Y14</f>
        <v>40429380.804076038</v>
      </c>
      <c r="AD25" s="104">
        <f>Gravimetria!AC152*($D$25*(1+$D$18)^(AD23-1))*Z14</f>
        <v>43577232.578695036</v>
      </c>
    </row>
    <row r="26" spans="1:317">
      <c r="A26" s="97" t="s">
        <v>44</v>
      </c>
      <c r="B26" s="58" t="str">
        <f>$B$6</f>
        <v>Materiais Recicláveis</v>
      </c>
      <c r="C26" s="58"/>
      <c r="D26" s="99">
        <f>$E$6</f>
        <v>710.78562132352954</v>
      </c>
      <c r="E26" s="60"/>
      <c r="F26" s="104">
        <f>Gravimetria!E161*(1-$H$6)*($D26*(1+$D$18)^(F$23-1))*B15</f>
        <v>6786981.9954874869</v>
      </c>
      <c r="G26" s="104">
        <f>Gravimetria!F161*(1-$H$6)*($D26*(1+$D$18)^(G$23-1))*C15</f>
        <v>7315420.4228850864</v>
      </c>
      <c r="H26" s="104">
        <f>Gravimetria!G161*(1-$H$6)*($D26*(1+$D$18)^(H$23-1))*D15</f>
        <v>7885001.3538894514</v>
      </c>
      <c r="I26" s="104">
        <f>Gravimetria!H161*(1-$H$6)*($D26*(1+$D$18)^(I$23-1))*E15</f>
        <v>8498933.9221841581</v>
      </c>
      <c r="J26" s="104">
        <f>Gravimetria!I161*(1-$H$6)*($D26*(1+$D$18)^(J$23-1))*F15</f>
        <v>9160663.3972434197</v>
      </c>
      <c r="K26" s="104">
        <f>Gravimetria!J161*(1-$H$6)*($D26*(1+$D$18)^(K$23-1))*G15</f>
        <v>9873917.5126142744</v>
      </c>
      <c r="L26" s="104">
        <f>Gravimetria!K161*(1-$H$6)*($D26*(1+$D$18)^(L$23-1))*H15</f>
        <v>10642707.003387935</v>
      </c>
      <c r="M26" s="104">
        <f>Gravimetria!L161*(1-$H$6)*($D26*(1+$D$18)^(M$23-1))*I15</f>
        <v>11471354.60820858</v>
      </c>
      <c r="N26" s="104">
        <f>Gravimetria!M161*(1-$H$6)*($D26*(1+$D$18)^(N$23-1))*J15</f>
        <v>12364519.317572506</v>
      </c>
      <c r="O26" s="104">
        <f>Gravimetria!N161*(1-$H$6)*($D26*(1+$D$18)^(O$23-1))*K15</f>
        <v>13327227.69625072</v>
      </c>
      <c r="P26" s="104">
        <f>Gravimetria!O161*(1-$H$6)*($D26*(1+$D$18)^(P$23-1))*L15</f>
        <v>14364892.735824468</v>
      </c>
      <c r="Q26" s="104">
        <f>Gravimetria!P161*(1-$H$6)*($D26*(1+$D$18)^(Q$23-1))*M15</f>
        <v>15483348.461743899</v>
      </c>
      <c r="R26" s="104">
        <f>Gravimetria!Q161*(1-$H$6)*($D26*(1+$D$18)^(R$23-1))*N15</f>
        <v>16688888.994981147</v>
      </c>
      <c r="S26" s="104">
        <f>Gravimetria!R161*(1-$H$6)*($D26*(1+$D$18)^(S$23-1))*O15</f>
        <v>17988299.216882471</v>
      </c>
      <c r="T26" s="104">
        <f>Gravimetria!S161*(1-$H$6)*($D26*(1+$D$18)^(T$23-1))*P15</f>
        <v>19388871.298561651</v>
      </c>
      <c r="U26" s="104">
        <f>Gravimetria!T161*(1-$H$6)*($D26*(1+$D$18)^(U$23-1))*Q15</f>
        <v>20898500.508066423</v>
      </c>
      <c r="V26" s="104">
        <f>Gravimetria!U161*(1-$H$6)*($D26*(1+$D$18)^(V$23-1))*R15</f>
        <v>22525667.451303739</v>
      </c>
      <c r="W26" s="104">
        <f>Gravimetria!V161*(1-$H$6)*($D26*(1+$D$18)^(W$23-1))*S15</f>
        <v>24279528.449992031</v>
      </c>
      <c r="X26" s="104">
        <f>Gravimetria!W161*(1-$H$6)*($D26*(1+$D$18)^(X$23-1))*T15</f>
        <v>26169944.138398264</v>
      </c>
      <c r="Y26" s="104">
        <f>Gravimetria!X161*(1-$H$6)*($D26*(1+$D$18)^(Y$23-1))*U15</f>
        <v>28207552.135743659</v>
      </c>
      <c r="Z26" s="104">
        <f>Gravimetria!Y161*(1-$H$6)*($D26*(1+$D$18)^(Z$23-1))*V15</f>
        <v>30403808.445269603</v>
      </c>
      <c r="AA26" s="104">
        <f>Gravimetria!Z161*(1-$H$6)*($D26*(1+$D$18)^(AA$23-1))*W15</f>
        <v>32771059.967990994</v>
      </c>
      <c r="AB26" s="104">
        <f>Gravimetria!AA161*(1-$H$6)*($D26*(1+$D$18)^(AB$23-1))*X15</f>
        <v>35322638.486020274</v>
      </c>
      <c r="AC26" s="104">
        <f>Gravimetria!AB161*(1-$H$6)*($D26*(1+$D$18)^(AC$23-1))*Y15</f>
        <v>38072877.565802582</v>
      </c>
      <c r="AD26" s="104">
        <f>Gravimetria!AC161*(1-$H$6)*($D26*(1+$D$18)^(AD$23-1))*Z15</f>
        <v>41037251.170443997</v>
      </c>
    </row>
    <row r="27" spans="1:317">
      <c r="A27" s="97" t="s">
        <v>130</v>
      </c>
      <c r="B27" s="58" t="str">
        <f>$B$7</f>
        <v>Adubo Orgânico</v>
      </c>
      <c r="C27" s="58"/>
      <c r="D27" s="99">
        <f>$E$7</f>
        <v>26.188068000000001</v>
      </c>
      <c r="E27" s="60"/>
      <c r="F27" s="104">
        <f>Gravimetria!E169*($D27*(1+$D$18)^(F$23-1))*B16</f>
        <v>842721.55301280005</v>
      </c>
      <c r="G27" s="104">
        <f>Gravimetria!F169*($D27*(1+$D$18)^(G$23-1))*C16</f>
        <v>908336.15806424036</v>
      </c>
      <c r="H27" s="104">
        <f>Gravimetria!G169*($D27*(1+$D$18)^(H$23-1))*D16</f>
        <v>979059.80266908405</v>
      </c>
      <c r="I27" s="104">
        <f>Gravimetria!H169*($D27*(1+$D$18)^(I$23-1))*E16</f>
        <v>1055289.7651891403</v>
      </c>
      <c r="J27" s="104">
        <f>Gravimetria!I169*($D27*(1+$D$18)^(J$23-1))*F16</f>
        <v>1137455.1726274928</v>
      </c>
      <c r="K27" s="104">
        <f>Gravimetria!J169*($D27*(1+$D$18)^(K$23-1))*G16</f>
        <v>1226017.9105895734</v>
      </c>
      <c r="L27" s="104">
        <f>Gravimetria!K169*($D27*(1+$D$18)^(L$23-1))*H16</f>
        <v>1321476.5524521321</v>
      </c>
      <c r="M27" s="104">
        <f>Gravimetria!L169*($D27*(1+$D$18)^(M$23-1))*I16</f>
        <v>1424367.325599344</v>
      </c>
      <c r="N27" s="104">
        <f>Gravimetria!M169*($D27*(1+$D$18)^(N$23-1))*J16</f>
        <v>1535269.4014217334</v>
      </c>
      <c r="O27" s="104">
        <f>Gravimetria!N169*($D27*(1+$D$18)^(O$23-1))*K16</f>
        <v>1654806.1867888942</v>
      </c>
      <c r="P27" s="104">
        <f>Gravimetria!O169*($D27*(1+$D$18)^(P$23-1))*L16</f>
        <v>1783650.057832272</v>
      </c>
      <c r="Q27" s="104">
        <f>Gravimetria!P169*($D27*(1+$D$18)^(Q$23-1))*M16</f>
        <v>1922526.2979439972</v>
      </c>
      <c r="R27" s="104">
        <f>Gravimetria!Q169*($D27*(1+$D$18)^(R$23-1))*N16</f>
        <v>2072215.0257587614</v>
      </c>
      <c r="S27" s="104">
        <f>Gravimetria!R169*($D27*(1+$D$18)^(S$23-1))*O16</f>
        <v>2233558.7587788031</v>
      </c>
      <c r="T27" s="104">
        <f>Gravimetria!S169*($D27*(1+$D$18)^(T$23-1))*P16</f>
        <v>2407465.0712787719</v>
      </c>
      <c r="U27" s="104">
        <f>Gravimetria!T169*($D27*(1+$D$18)^(U$23-1))*Q16</f>
        <v>2594911.4960235995</v>
      </c>
      <c r="V27" s="104">
        <f>Gravimetria!U169*($D27*(1+$D$18)^(V$23-1))*R16</f>
        <v>2796952.3070281334</v>
      </c>
      <c r="W27" s="104">
        <f>Gravimetria!V169*($D27*(1+$D$18)^(W$23-1))*S16</f>
        <v>3014724.679941528</v>
      </c>
      <c r="X27" s="104">
        <f>Gravimetria!W169*($D27*(1+$D$18)^(X$23-1))*T16</f>
        <v>3249452.7441021013</v>
      </c>
      <c r="Y27" s="104">
        <f>Gravimetria!X169*($D27*(1+$D$18)^(Y$23-1))*U16</f>
        <v>3502456.7049552728</v>
      </c>
      <c r="Z27" s="104">
        <f>Gravimetria!Y169*($D27*(1+$D$18)^(Z$23-1))*V16</f>
        <v>3775159.5517997211</v>
      </c>
      <c r="AA27" s="104">
        <f>Gravimetria!Z169*($D27*(1+$D$18)^(AA$23-1))*W16</f>
        <v>4069096.1248004246</v>
      </c>
      <c r="AB27" s="104">
        <f>Gravimetria!AA169*($D27*(1+$D$18)^(AB$23-1))*X16</f>
        <v>4385917.5409217523</v>
      </c>
      <c r="AC27" s="104">
        <f>Gravimetria!AB169*($D27*(1+$D$18)^(AC$23-1))*Y16</f>
        <v>4727407.8947192067</v>
      </c>
      <c r="AD27" s="104">
        <f>Gravimetria!AC169*($D27*(1+$D$18)^(AD$23-1))*Z16</f>
        <v>5095485.4187395833</v>
      </c>
    </row>
    <row r="28" spans="1:317" s="39" customFormat="1">
      <c r="A28" s="97" t="s">
        <v>320</v>
      </c>
      <c r="B28" s="58" t="s">
        <v>687</v>
      </c>
      <c r="C28" s="58"/>
      <c r="D28" s="99">
        <f>$E$8</f>
        <v>27.099599999999999</v>
      </c>
      <c r="E28" s="60"/>
      <c r="F28" s="104">
        <f>$D$8*12*Receitas!$D$28*(1+Receitas!$D$18)^(F23-1)*B17</f>
        <v>390234.24</v>
      </c>
      <c r="G28" s="104">
        <f>$D$8*12*Receitas!$D$28*(1+Receitas!$D$18)^(G23-1)*C17</f>
        <v>417238.44940799999</v>
      </c>
      <c r="H28" s="104">
        <f>$D$8*12*Receitas!$D$28*(1+Receitas!$D$18)^(H23-1)*D17</f>
        <v>446111.3501070335</v>
      </c>
      <c r="I28" s="104">
        <f>$D$8*12*Receitas!$D$28*(1+Receitas!$D$18)^(I23-1)*E17</f>
        <v>476982.25553444016</v>
      </c>
      <c r="J28" s="104">
        <f>$D$8*12*Receitas!$D$28*(1+Receitas!$D$18)^(J23-1)*F17</f>
        <v>509989.42761742335</v>
      </c>
      <c r="K28" s="104">
        <f>$D$8*12*Receitas!$D$28*(1+Receitas!$D$18)^(K23-1)*G17</f>
        <v>545280.69600854896</v>
      </c>
      <c r="L28" s="104">
        <f>$D$8*12*Receitas!$D$28*(1+Receitas!$D$18)^(L23-1)*H17</f>
        <v>583014.12017234042</v>
      </c>
      <c r="M28" s="104">
        <f>$D$8*12*Receitas!$D$28*(1+Receitas!$D$18)^(M23-1)*I17</f>
        <v>623358.69728826638</v>
      </c>
      <c r="N28" s="104">
        <f>$D$8*12*Receitas!$D$28*(1+Receitas!$D$18)^(N23-1)*J17</f>
        <v>666495.11914061429</v>
      </c>
      <c r="O28" s="104">
        <f>$D$8*12*Receitas!$D$28*(1+Receitas!$D$18)^(O23-1)*K17</f>
        <v>712616.58138514473</v>
      </c>
      <c r="P28" s="104">
        <f>$D$8*12*Receitas!$D$28*(1+Receitas!$D$18)^(P23-1)*L17</f>
        <v>761929.64881699672</v>
      </c>
      <c r="Q28" s="104">
        <f>$D$8*12*Receitas!$D$28*(1+Receitas!$D$18)^(Q23-1)*M17</f>
        <v>814655.18051513284</v>
      </c>
      <c r="R28" s="104">
        <f>$D$8*12*Receitas!$D$28*(1+Receitas!$D$18)^(R23-1)*N17</f>
        <v>871029.31900677981</v>
      </c>
      <c r="S28" s="104">
        <f>$D$8*12*Receitas!$D$28*(1+Receitas!$D$18)^(S23-1)*O17</f>
        <v>931304.54788204888</v>
      </c>
      <c r="T28" s="104">
        <f>$D$8*12*Receitas!$D$28*(1+Receitas!$D$18)^(T23-1)*P17</f>
        <v>995750.82259548653</v>
      </c>
      <c r="U28" s="104">
        <f>$D$8*12*Receitas!$D$28*(1+Receitas!$D$18)^(U23-1)*Q17</f>
        <v>1064656.7795190942</v>
      </c>
      <c r="V28" s="104">
        <f>$D$8*12*Receitas!$D$28*(1+Receitas!$D$18)^(V23-1)*R17</f>
        <v>1138331.0286618154</v>
      </c>
      <c r="W28" s="104">
        <f>$D$8*12*Receitas!$D$28*(1+Receitas!$D$18)^(W23-1)*S17</f>
        <v>1217103.5358452129</v>
      </c>
      <c r="X28" s="104">
        <f>$D$8*12*Receitas!$D$28*(1+Receitas!$D$18)^(X23-1)*T17</f>
        <v>1301327.1005257014</v>
      </c>
      <c r="Y28" s="104">
        <f>$D$8*12*Receitas!$D$28*(1+Receitas!$D$18)^(Y23-1)*U17</f>
        <v>1391378.9358820799</v>
      </c>
      <c r="Z28" s="104">
        <f>$D$8*12*Receitas!$D$28*(1+Receitas!$D$18)^(Z23-1)*V17</f>
        <v>1487662.3582451195</v>
      </c>
      <c r="AA28" s="104">
        <f>$D$8*12*Receitas!$D$28*(1+Receitas!$D$18)^(AA23-1)*W17</f>
        <v>1590608.5934356817</v>
      </c>
      <c r="AB28" s="104">
        <f>$D$8*12*Receitas!$D$28*(1+Receitas!$D$18)^(AB23-1)*X17</f>
        <v>1700678.7081014304</v>
      </c>
      <c r="AC28" s="104">
        <f>$D$8*12*Receitas!$D$28*(1+Receitas!$D$18)^(AC23-1)*Y17</f>
        <v>1818365.6747020495</v>
      </c>
      <c r="AD28" s="104">
        <f>$D$8*12*Receitas!$D$28*(1+Receitas!$D$18)^(AD23-1)*Z17</f>
        <v>1944196.5793914308</v>
      </c>
    </row>
    <row r="29" spans="1:317">
      <c r="A29" s="100"/>
      <c r="B29" s="101" t="s">
        <v>5</v>
      </c>
      <c r="C29" s="58"/>
      <c r="D29" s="102"/>
      <c r="E29" s="103"/>
      <c r="F29" s="106">
        <f t="shared" ref="F29:AD29" si="0">SUM(F25:F27)</f>
        <v>14836762.842674347</v>
      </c>
      <c r="G29" s="106">
        <f t="shared" si="0"/>
        <v>15991961.225164251</v>
      </c>
      <c r="H29" s="106">
        <f t="shared" si="0"/>
        <v>17237102.172393829</v>
      </c>
      <c r="I29" s="106">
        <f t="shared" si="0"/>
        <v>18579194.259441063</v>
      </c>
      <c r="J29" s="106">
        <f t="shared" si="0"/>
        <v>20025777.772495821</v>
      </c>
      <c r="K29" s="106">
        <f t="shared" si="0"/>
        <v>21584995.361926626</v>
      </c>
      <c r="L29" s="106">
        <f t="shared" si="0"/>
        <v>23265615.578887828</v>
      </c>
      <c r="M29" s="106">
        <f t="shared" si="0"/>
        <v>25077089.534531146</v>
      </c>
      <c r="N29" s="106">
        <f t="shared" si="0"/>
        <v>27029603.977051079</v>
      </c>
      <c r="O29" s="106">
        <f t="shared" si="0"/>
        <v>29134143.438315719</v>
      </c>
      <c r="P29" s="106">
        <f t="shared" si="0"/>
        <v>31402542.723450527</v>
      </c>
      <c r="Q29" s="106">
        <f t="shared" si="0"/>
        <v>33847559.06183964</v>
      </c>
      <c r="R29" s="106">
        <f t="shared" si="0"/>
        <v>36482946.710258901</v>
      </c>
      <c r="S29" s="106">
        <f t="shared" si="0"/>
        <v>39323532.574561939</v>
      </c>
      <c r="T29" s="106">
        <f t="shared" si="0"/>
        <v>42385276.846941836</v>
      </c>
      <c r="U29" s="106">
        <f t="shared" si="0"/>
        <v>45685418.132962584</v>
      </c>
      <c r="V29" s="106">
        <f t="shared" si="0"/>
        <v>49242507.238884345</v>
      </c>
      <c r="W29" s="106">
        <f t="shared" si="0"/>
        <v>53076555.398667894</v>
      </c>
      <c r="X29" s="106">
        <f t="shared" si="0"/>
        <v>57209122.291827172</v>
      </c>
      <c r="Y29" s="106">
        <f t="shared" si="0"/>
        <v>61663456.952588074</v>
      </c>
      <c r="Z29" s="106">
        <f t="shared" si="0"/>
        <v>66464606.998621322</v>
      </c>
      <c r="AA29" s="106">
        <f t="shared" si="0"/>
        <v>71639571.781520486</v>
      </c>
      <c r="AB29" s="106">
        <f t="shared" si="0"/>
        <v>77217472.121626556</v>
      </c>
      <c r="AC29" s="106">
        <f t="shared" si="0"/>
        <v>83229666.264597833</v>
      </c>
      <c r="AD29" s="106">
        <f t="shared" si="0"/>
        <v>89709969.167878628</v>
      </c>
    </row>
    <row r="32" spans="1:317">
      <c r="A32" s="40"/>
      <c r="B32" s="40"/>
      <c r="C32" s="40"/>
      <c r="D32" s="40"/>
      <c r="E32" s="40"/>
      <c r="F32" s="483">
        <v>1</v>
      </c>
      <c r="G32" s="483"/>
      <c r="H32" s="483"/>
      <c r="I32" s="483"/>
      <c r="J32" s="483"/>
      <c r="K32" s="483"/>
      <c r="L32" s="483"/>
      <c r="M32" s="483"/>
      <c r="N32" s="483"/>
      <c r="O32" s="483"/>
      <c r="P32" s="483"/>
      <c r="Q32" s="483"/>
      <c r="R32" s="483">
        <v>2</v>
      </c>
      <c r="S32" s="483"/>
      <c r="T32" s="483"/>
      <c r="U32" s="483"/>
      <c r="V32" s="483"/>
      <c r="W32" s="483"/>
      <c r="X32" s="483"/>
      <c r="Y32" s="483"/>
      <c r="Z32" s="483"/>
      <c r="AA32" s="483"/>
      <c r="AB32" s="483"/>
      <c r="AC32" s="483"/>
      <c r="AD32" s="483">
        <v>3</v>
      </c>
      <c r="AE32" s="483"/>
      <c r="AF32" s="483"/>
      <c r="AG32" s="483"/>
      <c r="AH32" s="483"/>
      <c r="AI32" s="483"/>
      <c r="AJ32" s="483"/>
      <c r="AK32" s="483"/>
      <c r="AL32" s="483"/>
      <c r="AM32" s="483"/>
      <c r="AN32" s="483"/>
      <c r="AO32" s="483"/>
      <c r="AP32" s="483">
        <v>4</v>
      </c>
      <c r="AQ32" s="483"/>
      <c r="AR32" s="483"/>
      <c r="AS32" s="483"/>
      <c r="AT32" s="483"/>
      <c r="AU32" s="483"/>
      <c r="AV32" s="483"/>
      <c r="AW32" s="483"/>
      <c r="AX32" s="483"/>
      <c r="AY32" s="483"/>
      <c r="AZ32" s="483"/>
      <c r="BA32" s="483"/>
      <c r="BB32" s="483">
        <v>5</v>
      </c>
      <c r="BC32" s="483"/>
      <c r="BD32" s="483"/>
      <c r="BE32" s="483"/>
      <c r="BF32" s="483"/>
      <c r="BG32" s="483"/>
      <c r="BH32" s="483"/>
      <c r="BI32" s="483"/>
      <c r="BJ32" s="483"/>
      <c r="BK32" s="483"/>
      <c r="BL32" s="483"/>
      <c r="BM32" s="483"/>
      <c r="BN32" s="483">
        <v>6</v>
      </c>
      <c r="BO32" s="483"/>
      <c r="BP32" s="483"/>
      <c r="BQ32" s="483"/>
      <c r="BR32" s="483"/>
      <c r="BS32" s="483"/>
      <c r="BT32" s="483"/>
      <c r="BU32" s="483"/>
      <c r="BV32" s="483"/>
      <c r="BW32" s="483"/>
      <c r="BX32" s="483"/>
      <c r="BY32" s="483"/>
      <c r="BZ32" s="483">
        <v>7</v>
      </c>
      <c r="CA32" s="483"/>
      <c r="CB32" s="483"/>
      <c r="CC32" s="483"/>
      <c r="CD32" s="483"/>
      <c r="CE32" s="483"/>
      <c r="CF32" s="483"/>
      <c r="CG32" s="483"/>
      <c r="CH32" s="483"/>
      <c r="CI32" s="483"/>
      <c r="CJ32" s="483"/>
      <c r="CK32" s="483"/>
      <c r="CL32" s="483">
        <v>8</v>
      </c>
      <c r="CM32" s="483"/>
      <c r="CN32" s="483"/>
      <c r="CO32" s="483"/>
      <c r="CP32" s="483"/>
      <c r="CQ32" s="483"/>
      <c r="CR32" s="483"/>
      <c r="CS32" s="483"/>
      <c r="CT32" s="483"/>
      <c r="CU32" s="483"/>
      <c r="CV32" s="483"/>
      <c r="CW32" s="483"/>
      <c r="CX32" s="483">
        <v>9</v>
      </c>
      <c r="CY32" s="483"/>
      <c r="CZ32" s="483"/>
      <c r="DA32" s="483"/>
      <c r="DB32" s="483"/>
      <c r="DC32" s="483"/>
      <c r="DD32" s="483"/>
      <c r="DE32" s="483"/>
      <c r="DF32" s="483"/>
      <c r="DG32" s="483"/>
      <c r="DH32" s="483"/>
      <c r="DI32" s="483"/>
      <c r="DJ32" s="483">
        <v>10</v>
      </c>
      <c r="DK32" s="483"/>
      <c r="DL32" s="483"/>
      <c r="DM32" s="483"/>
      <c r="DN32" s="483"/>
      <c r="DO32" s="483"/>
      <c r="DP32" s="483"/>
      <c r="DQ32" s="483"/>
      <c r="DR32" s="483"/>
      <c r="DS32" s="483"/>
      <c r="DT32" s="483"/>
      <c r="DU32" s="483"/>
      <c r="DV32" s="483">
        <v>11</v>
      </c>
      <c r="DW32" s="483"/>
      <c r="DX32" s="483"/>
      <c r="DY32" s="483"/>
      <c r="DZ32" s="483"/>
      <c r="EA32" s="483"/>
      <c r="EB32" s="483"/>
      <c r="EC32" s="483"/>
      <c r="ED32" s="483"/>
      <c r="EE32" s="483"/>
      <c r="EF32" s="483"/>
      <c r="EG32" s="483"/>
      <c r="EH32" s="483">
        <v>12</v>
      </c>
      <c r="EI32" s="483"/>
      <c r="EJ32" s="483"/>
      <c r="EK32" s="483"/>
      <c r="EL32" s="483"/>
      <c r="EM32" s="483"/>
      <c r="EN32" s="483"/>
      <c r="EO32" s="483"/>
      <c r="EP32" s="483"/>
      <c r="EQ32" s="483"/>
      <c r="ER32" s="483"/>
      <c r="ES32" s="483"/>
      <c r="ET32" s="483">
        <v>13</v>
      </c>
      <c r="EU32" s="483"/>
      <c r="EV32" s="483"/>
      <c r="EW32" s="483"/>
      <c r="EX32" s="483"/>
      <c r="EY32" s="483"/>
      <c r="EZ32" s="483"/>
      <c r="FA32" s="483"/>
      <c r="FB32" s="483"/>
      <c r="FC32" s="483"/>
      <c r="FD32" s="483"/>
      <c r="FE32" s="483"/>
      <c r="FF32" s="483">
        <v>14</v>
      </c>
      <c r="FG32" s="483"/>
      <c r="FH32" s="483"/>
      <c r="FI32" s="483"/>
      <c r="FJ32" s="483"/>
      <c r="FK32" s="483"/>
      <c r="FL32" s="483"/>
      <c r="FM32" s="483"/>
      <c r="FN32" s="483"/>
      <c r="FO32" s="483"/>
      <c r="FP32" s="483"/>
      <c r="FQ32" s="483"/>
      <c r="FR32" s="483">
        <v>15</v>
      </c>
      <c r="FS32" s="483"/>
      <c r="FT32" s="483"/>
      <c r="FU32" s="483"/>
      <c r="FV32" s="483"/>
      <c r="FW32" s="483"/>
      <c r="FX32" s="483"/>
      <c r="FY32" s="483"/>
      <c r="FZ32" s="483"/>
      <c r="GA32" s="483"/>
      <c r="GB32" s="483"/>
      <c r="GC32" s="483"/>
      <c r="GD32" s="483">
        <v>16</v>
      </c>
      <c r="GE32" s="483"/>
      <c r="GF32" s="483"/>
      <c r="GG32" s="483"/>
      <c r="GH32" s="483"/>
      <c r="GI32" s="483"/>
      <c r="GJ32" s="483"/>
      <c r="GK32" s="483"/>
      <c r="GL32" s="483"/>
      <c r="GM32" s="483"/>
      <c r="GN32" s="483"/>
      <c r="GO32" s="483"/>
      <c r="GP32" s="483">
        <v>17</v>
      </c>
      <c r="GQ32" s="483"/>
      <c r="GR32" s="483"/>
      <c r="GS32" s="483"/>
      <c r="GT32" s="483"/>
      <c r="GU32" s="483"/>
      <c r="GV32" s="483"/>
      <c r="GW32" s="483"/>
      <c r="GX32" s="483"/>
      <c r="GY32" s="483"/>
      <c r="GZ32" s="483"/>
      <c r="HA32" s="483"/>
      <c r="HB32" s="483">
        <v>18</v>
      </c>
      <c r="HC32" s="483"/>
      <c r="HD32" s="483"/>
      <c r="HE32" s="483"/>
      <c r="HF32" s="483"/>
      <c r="HG32" s="483"/>
      <c r="HH32" s="483"/>
      <c r="HI32" s="483"/>
      <c r="HJ32" s="483"/>
      <c r="HK32" s="483"/>
      <c r="HL32" s="483"/>
      <c r="HM32" s="483"/>
      <c r="HN32" s="483">
        <v>19</v>
      </c>
      <c r="HO32" s="483"/>
      <c r="HP32" s="483"/>
      <c r="HQ32" s="483"/>
      <c r="HR32" s="483"/>
      <c r="HS32" s="483"/>
      <c r="HT32" s="483"/>
      <c r="HU32" s="483"/>
      <c r="HV32" s="483"/>
      <c r="HW32" s="483"/>
      <c r="HX32" s="483"/>
      <c r="HY32" s="483"/>
      <c r="HZ32" s="483">
        <v>20</v>
      </c>
      <c r="IA32" s="483"/>
      <c r="IB32" s="483"/>
      <c r="IC32" s="483"/>
      <c r="ID32" s="483"/>
      <c r="IE32" s="483"/>
      <c r="IF32" s="483"/>
      <c r="IG32" s="483"/>
      <c r="IH32" s="483"/>
      <c r="II32" s="483"/>
      <c r="IJ32" s="483"/>
      <c r="IK32" s="483"/>
      <c r="IL32" s="483">
        <v>21</v>
      </c>
      <c r="IM32" s="483"/>
      <c r="IN32" s="483"/>
      <c r="IO32" s="483"/>
      <c r="IP32" s="483"/>
      <c r="IQ32" s="483"/>
      <c r="IR32" s="483"/>
      <c r="IS32" s="483"/>
      <c r="IT32" s="483"/>
      <c r="IU32" s="483"/>
      <c r="IV32" s="483"/>
      <c r="IW32" s="483"/>
      <c r="IX32" s="483">
        <v>22</v>
      </c>
      <c r="IY32" s="483"/>
      <c r="IZ32" s="483"/>
      <c r="JA32" s="483"/>
      <c r="JB32" s="483"/>
      <c r="JC32" s="483"/>
      <c r="JD32" s="483"/>
      <c r="JE32" s="483"/>
      <c r="JF32" s="483"/>
      <c r="JG32" s="483"/>
      <c r="JH32" s="483"/>
      <c r="JI32" s="483"/>
      <c r="JJ32" s="483">
        <v>23</v>
      </c>
      <c r="JK32" s="483"/>
      <c r="JL32" s="483"/>
      <c r="JM32" s="483"/>
      <c r="JN32" s="483"/>
      <c r="JO32" s="483"/>
      <c r="JP32" s="483"/>
      <c r="JQ32" s="483"/>
      <c r="JR32" s="483"/>
      <c r="JS32" s="483"/>
      <c r="JT32" s="483"/>
      <c r="JU32" s="483"/>
      <c r="JV32" s="483">
        <v>24</v>
      </c>
      <c r="JW32" s="483"/>
      <c r="JX32" s="483"/>
      <c r="JY32" s="483"/>
      <c r="JZ32" s="483"/>
      <c r="KA32" s="483"/>
      <c r="KB32" s="483"/>
      <c r="KC32" s="483"/>
      <c r="KD32" s="483"/>
      <c r="KE32" s="483"/>
      <c r="KF32" s="483"/>
      <c r="KG32" s="483"/>
      <c r="KH32" s="483">
        <v>25</v>
      </c>
      <c r="KI32" s="483"/>
      <c r="KJ32" s="483"/>
      <c r="KK32" s="483"/>
      <c r="KL32" s="483"/>
      <c r="KM32" s="483"/>
      <c r="KN32" s="483"/>
      <c r="KO32" s="483"/>
      <c r="KP32" s="483"/>
      <c r="KQ32" s="483"/>
      <c r="KR32" s="483"/>
      <c r="KS32" s="483"/>
      <c r="KT32" s="484"/>
      <c r="KU32" s="484"/>
      <c r="KV32" s="484"/>
      <c r="KW32" s="484"/>
      <c r="KX32" s="484"/>
      <c r="KY32" s="484"/>
      <c r="KZ32" s="484"/>
      <c r="LA32" s="484"/>
      <c r="LB32" s="484"/>
      <c r="LC32" s="484"/>
      <c r="LD32" s="484"/>
      <c r="LE32" s="484"/>
    </row>
    <row r="33" spans="1:305">
      <c r="A33" s="57" t="s">
        <v>37</v>
      </c>
      <c r="B33" s="485" t="s">
        <v>158</v>
      </c>
      <c r="C33" s="485"/>
      <c r="D33" s="485"/>
      <c r="E33" s="485"/>
      <c r="F33" s="110">
        <v>1</v>
      </c>
      <c r="G33" s="110">
        <v>2</v>
      </c>
      <c r="H33" s="110">
        <v>3</v>
      </c>
      <c r="I33" s="110">
        <v>4</v>
      </c>
      <c r="J33" s="110">
        <v>5</v>
      </c>
      <c r="K33" s="110">
        <v>6</v>
      </c>
      <c r="L33" s="110">
        <v>7</v>
      </c>
      <c r="M33" s="110">
        <v>8</v>
      </c>
      <c r="N33" s="110">
        <v>9</v>
      </c>
      <c r="O33" s="110">
        <v>10</v>
      </c>
      <c r="P33" s="110">
        <v>11</v>
      </c>
      <c r="Q33" s="110">
        <v>12</v>
      </c>
      <c r="R33" s="110">
        <v>13</v>
      </c>
      <c r="S33" s="110">
        <v>14</v>
      </c>
      <c r="T33" s="110">
        <v>15</v>
      </c>
      <c r="U33" s="110">
        <v>16</v>
      </c>
      <c r="V33" s="110">
        <v>17</v>
      </c>
      <c r="W33" s="110">
        <v>18</v>
      </c>
      <c r="X33" s="110">
        <v>19</v>
      </c>
      <c r="Y33" s="110">
        <v>20</v>
      </c>
      <c r="Z33" s="110">
        <v>21</v>
      </c>
      <c r="AA33" s="110">
        <v>22</v>
      </c>
      <c r="AB33" s="110">
        <v>23</v>
      </c>
      <c r="AC33" s="110">
        <v>24</v>
      </c>
      <c r="AD33" s="110">
        <v>25</v>
      </c>
      <c r="AE33" s="110">
        <v>26</v>
      </c>
      <c r="AF33" s="110">
        <v>27</v>
      </c>
      <c r="AG33" s="110">
        <v>28</v>
      </c>
      <c r="AH33" s="110">
        <v>29</v>
      </c>
      <c r="AI33" s="110">
        <v>30</v>
      </c>
      <c r="AJ33" s="110">
        <v>31</v>
      </c>
      <c r="AK33" s="110">
        <v>32</v>
      </c>
      <c r="AL33" s="110">
        <v>33</v>
      </c>
      <c r="AM33" s="110">
        <v>34</v>
      </c>
      <c r="AN33" s="110">
        <v>35</v>
      </c>
      <c r="AO33" s="110">
        <v>36</v>
      </c>
      <c r="AP33" s="110">
        <v>37</v>
      </c>
      <c r="AQ33" s="110">
        <v>38</v>
      </c>
      <c r="AR33" s="110">
        <v>39</v>
      </c>
      <c r="AS33" s="110">
        <v>40</v>
      </c>
      <c r="AT33" s="110">
        <v>41</v>
      </c>
      <c r="AU33" s="110">
        <v>42</v>
      </c>
      <c r="AV33" s="110">
        <v>43</v>
      </c>
      <c r="AW33" s="110">
        <v>44</v>
      </c>
      <c r="AX33" s="110">
        <v>45</v>
      </c>
      <c r="AY33" s="110">
        <v>46</v>
      </c>
      <c r="AZ33" s="110">
        <v>47</v>
      </c>
      <c r="BA33" s="110">
        <v>48</v>
      </c>
      <c r="BB33" s="110">
        <v>49</v>
      </c>
      <c r="BC33" s="110">
        <v>50</v>
      </c>
      <c r="BD33" s="110">
        <v>51</v>
      </c>
      <c r="BE33" s="110">
        <v>52</v>
      </c>
      <c r="BF33" s="110">
        <v>53</v>
      </c>
      <c r="BG33" s="110">
        <v>54</v>
      </c>
      <c r="BH33" s="110">
        <v>55</v>
      </c>
      <c r="BI33" s="110">
        <v>56</v>
      </c>
      <c r="BJ33" s="110">
        <v>57</v>
      </c>
      <c r="BK33" s="110">
        <v>58</v>
      </c>
      <c r="BL33" s="110">
        <v>59</v>
      </c>
      <c r="BM33" s="110">
        <v>60</v>
      </c>
      <c r="BN33" s="110">
        <v>61</v>
      </c>
      <c r="BO33" s="110">
        <v>62</v>
      </c>
      <c r="BP33" s="110">
        <v>63</v>
      </c>
      <c r="BQ33" s="110">
        <v>64</v>
      </c>
      <c r="BR33" s="110">
        <v>65</v>
      </c>
      <c r="BS33" s="110">
        <v>66</v>
      </c>
      <c r="BT33" s="110">
        <v>67</v>
      </c>
      <c r="BU33" s="110">
        <v>68</v>
      </c>
      <c r="BV33" s="110">
        <v>69</v>
      </c>
      <c r="BW33" s="110">
        <v>70</v>
      </c>
      <c r="BX33" s="110">
        <v>71</v>
      </c>
      <c r="BY33" s="110">
        <v>72</v>
      </c>
      <c r="BZ33" s="110">
        <v>73</v>
      </c>
      <c r="CA33" s="110">
        <v>74</v>
      </c>
      <c r="CB33" s="110">
        <v>75</v>
      </c>
      <c r="CC33" s="110">
        <v>76</v>
      </c>
      <c r="CD33" s="110">
        <v>77</v>
      </c>
      <c r="CE33" s="110">
        <v>78</v>
      </c>
      <c r="CF33" s="110">
        <v>79</v>
      </c>
      <c r="CG33" s="110">
        <v>80</v>
      </c>
      <c r="CH33" s="110">
        <v>81</v>
      </c>
      <c r="CI33" s="110">
        <v>82</v>
      </c>
      <c r="CJ33" s="110">
        <v>83</v>
      </c>
      <c r="CK33" s="110">
        <v>84</v>
      </c>
      <c r="CL33" s="110">
        <v>85</v>
      </c>
      <c r="CM33" s="110">
        <v>86</v>
      </c>
      <c r="CN33" s="110">
        <v>87</v>
      </c>
      <c r="CO33" s="110">
        <v>88</v>
      </c>
      <c r="CP33" s="110">
        <v>89</v>
      </c>
      <c r="CQ33" s="110">
        <v>90</v>
      </c>
      <c r="CR33" s="110">
        <v>91</v>
      </c>
      <c r="CS33" s="110">
        <v>92</v>
      </c>
      <c r="CT33" s="110">
        <v>93</v>
      </c>
      <c r="CU33" s="110">
        <v>94</v>
      </c>
      <c r="CV33" s="110">
        <v>95</v>
      </c>
      <c r="CW33" s="110">
        <v>96</v>
      </c>
      <c r="CX33" s="110">
        <v>97</v>
      </c>
      <c r="CY33" s="110">
        <v>98</v>
      </c>
      <c r="CZ33" s="110">
        <v>99</v>
      </c>
      <c r="DA33" s="110">
        <v>100</v>
      </c>
      <c r="DB33" s="110">
        <v>101</v>
      </c>
      <c r="DC33" s="110">
        <v>102</v>
      </c>
      <c r="DD33" s="110">
        <v>103</v>
      </c>
      <c r="DE33" s="110">
        <v>104</v>
      </c>
      <c r="DF33" s="110">
        <v>105</v>
      </c>
      <c r="DG33" s="110">
        <v>106</v>
      </c>
      <c r="DH33" s="110">
        <v>107</v>
      </c>
      <c r="DI33" s="110">
        <v>108</v>
      </c>
      <c r="DJ33" s="110">
        <v>109</v>
      </c>
      <c r="DK33" s="110">
        <v>110</v>
      </c>
      <c r="DL33" s="110">
        <v>111</v>
      </c>
      <c r="DM33" s="110">
        <v>112</v>
      </c>
      <c r="DN33" s="110">
        <v>113</v>
      </c>
      <c r="DO33" s="110">
        <v>114</v>
      </c>
      <c r="DP33" s="110">
        <v>115</v>
      </c>
      <c r="DQ33" s="110">
        <v>116</v>
      </c>
      <c r="DR33" s="110">
        <v>117</v>
      </c>
      <c r="DS33" s="110">
        <v>118</v>
      </c>
      <c r="DT33" s="110">
        <v>119</v>
      </c>
      <c r="DU33" s="110">
        <v>120</v>
      </c>
      <c r="DV33" s="110">
        <v>121</v>
      </c>
      <c r="DW33" s="110">
        <v>122</v>
      </c>
      <c r="DX33" s="110">
        <v>123</v>
      </c>
      <c r="DY33" s="110">
        <v>124</v>
      </c>
      <c r="DZ33" s="110">
        <v>125</v>
      </c>
      <c r="EA33" s="110">
        <v>126</v>
      </c>
      <c r="EB33" s="110">
        <v>127</v>
      </c>
      <c r="EC33" s="110">
        <v>128</v>
      </c>
      <c r="ED33" s="110">
        <v>129</v>
      </c>
      <c r="EE33" s="110">
        <v>130</v>
      </c>
      <c r="EF33" s="110">
        <v>131</v>
      </c>
      <c r="EG33" s="110">
        <v>132</v>
      </c>
      <c r="EH33" s="110">
        <v>133</v>
      </c>
      <c r="EI33" s="110">
        <v>134</v>
      </c>
      <c r="EJ33" s="110">
        <v>135</v>
      </c>
      <c r="EK33" s="110">
        <v>136</v>
      </c>
      <c r="EL33" s="110">
        <v>137</v>
      </c>
      <c r="EM33" s="110">
        <v>138</v>
      </c>
      <c r="EN33" s="110">
        <v>139</v>
      </c>
      <c r="EO33" s="110">
        <v>140</v>
      </c>
      <c r="EP33" s="110">
        <v>141</v>
      </c>
      <c r="EQ33" s="110">
        <v>142</v>
      </c>
      <c r="ER33" s="110">
        <v>143</v>
      </c>
      <c r="ES33" s="110">
        <v>144</v>
      </c>
      <c r="ET33" s="110">
        <v>145</v>
      </c>
      <c r="EU33" s="110">
        <v>146</v>
      </c>
      <c r="EV33" s="110">
        <v>147</v>
      </c>
      <c r="EW33" s="110">
        <v>148</v>
      </c>
      <c r="EX33" s="110">
        <v>149</v>
      </c>
      <c r="EY33" s="110">
        <v>150</v>
      </c>
      <c r="EZ33" s="110">
        <v>151</v>
      </c>
      <c r="FA33" s="110">
        <v>152</v>
      </c>
      <c r="FB33" s="110">
        <v>153</v>
      </c>
      <c r="FC33" s="110">
        <v>154</v>
      </c>
      <c r="FD33" s="110">
        <v>155</v>
      </c>
      <c r="FE33" s="110">
        <v>156</v>
      </c>
      <c r="FF33" s="110">
        <v>157</v>
      </c>
      <c r="FG33" s="110">
        <v>158</v>
      </c>
      <c r="FH33" s="110">
        <v>159</v>
      </c>
      <c r="FI33" s="110">
        <v>160</v>
      </c>
      <c r="FJ33" s="110">
        <v>161</v>
      </c>
      <c r="FK33" s="110">
        <v>162</v>
      </c>
      <c r="FL33" s="110">
        <v>163</v>
      </c>
      <c r="FM33" s="110">
        <v>164</v>
      </c>
      <c r="FN33" s="110">
        <v>165</v>
      </c>
      <c r="FO33" s="110">
        <v>166</v>
      </c>
      <c r="FP33" s="110">
        <v>167</v>
      </c>
      <c r="FQ33" s="110">
        <v>168</v>
      </c>
      <c r="FR33" s="110">
        <v>169</v>
      </c>
      <c r="FS33" s="110">
        <v>170</v>
      </c>
      <c r="FT33" s="110">
        <v>171</v>
      </c>
      <c r="FU33" s="110">
        <v>172</v>
      </c>
      <c r="FV33" s="110">
        <v>173</v>
      </c>
      <c r="FW33" s="110">
        <v>174</v>
      </c>
      <c r="FX33" s="110">
        <v>175</v>
      </c>
      <c r="FY33" s="110">
        <v>176</v>
      </c>
      <c r="FZ33" s="110">
        <v>177</v>
      </c>
      <c r="GA33" s="110">
        <v>178</v>
      </c>
      <c r="GB33" s="110">
        <v>179</v>
      </c>
      <c r="GC33" s="110">
        <v>180</v>
      </c>
      <c r="GD33" s="110">
        <v>181</v>
      </c>
      <c r="GE33" s="110">
        <v>182</v>
      </c>
      <c r="GF33" s="110">
        <v>183</v>
      </c>
      <c r="GG33" s="110">
        <v>184</v>
      </c>
      <c r="GH33" s="110">
        <v>185</v>
      </c>
      <c r="GI33" s="110">
        <v>186</v>
      </c>
      <c r="GJ33" s="110">
        <v>187</v>
      </c>
      <c r="GK33" s="110">
        <v>188</v>
      </c>
      <c r="GL33" s="110">
        <v>189</v>
      </c>
      <c r="GM33" s="110">
        <v>190</v>
      </c>
      <c r="GN33" s="110">
        <v>191</v>
      </c>
      <c r="GO33" s="110">
        <v>192</v>
      </c>
      <c r="GP33" s="110">
        <v>193</v>
      </c>
      <c r="GQ33" s="110">
        <v>194</v>
      </c>
      <c r="GR33" s="110">
        <v>195</v>
      </c>
      <c r="GS33" s="110">
        <v>196</v>
      </c>
      <c r="GT33" s="110">
        <v>197</v>
      </c>
      <c r="GU33" s="110">
        <v>198</v>
      </c>
      <c r="GV33" s="110">
        <v>199</v>
      </c>
      <c r="GW33" s="110">
        <v>200</v>
      </c>
      <c r="GX33" s="110">
        <v>201</v>
      </c>
      <c r="GY33" s="110">
        <v>202</v>
      </c>
      <c r="GZ33" s="110">
        <v>203</v>
      </c>
      <c r="HA33" s="110">
        <v>204</v>
      </c>
      <c r="HB33" s="110">
        <v>205</v>
      </c>
      <c r="HC33" s="110">
        <v>206</v>
      </c>
      <c r="HD33" s="110">
        <v>207</v>
      </c>
      <c r="HE33" s="110">
        <v>208</v>
      </c>
      <c r="HF33" s="110">
        <v>209</v>
      </c>
      <c r="HG33" s="110">
        <v>210</v>
      </c>
      <c r="HH33" s="110">
        <v>211</v>
      </c>
      <c r="HI33" s="110">
        <v>212</v>
      </c>
      <c r="HJ33" s="110">
        <v>213</v>
      </c>
      <c r="HK33" s="110">
        <v>214</v>
      </c>
      <c r="HL33" s="110">
        <v>215</v>
      </c>
      <c r="HM33" s="110">
        <v>216</v>
      </c>
      <c r="HN33" s="110">
        <v>217</v>
      </c>
      <c r="HO33" s="110">
        <v>218</v>
      </c>
      <c r="HP33" s="110">
        <v>219</v>
      </c>
      <c r="HQ33" s="110">
        <v>220</v>
      </c>
      <c r="HR33" s="110">
        <v>221</v>
      </c>
      <c r="HS33" s="110">
        <v>222</v>
      </c>
      <c r="HT33" s="110">
        <v>223</v>
      </c>
      <c r="HU33" s="110">
        <v>224</v>
      </c>
      <c r="HV33" s="110">
        <v>225</v>
      </c>
      <c r="HW33" s="110">
        <v>226</v>
      </c>
      <c r="HX33" s="110">
        <v>227</v>
      </c>
      <c r="HY33" s="110">
        <v>228</v>
      </c>
      <c r="HZ33" s="110">
        <v>229</v>
      </c>
      <c r="IA33" s="110">
        <v>230</v>
      </c>
      <c r="IB33" s="110">
        <v>231</v>
      </c>
      <c r="IC33" s="110">
        <v>232</v>
      </c>
      <c r="ID33" s="110">
        <v>233</v>
      </c>
      <c r="IE33" s="110">
        <v>234</v>
      </c>
      <c r="IF33" s="110">
        <v>235</v>
      </c>
      <c r="IG33" s="110">
        <v>236</v>
      </c>
      <c r="IH33" s="110">
        <v>237</v>
      </c>
      <c r="II33" s="110">
        <v>238</v>
      </c>
      <c r="IJ33" s="110">
        <v>239</v>
      </c>
      <c r="IK33" s="110">
        <v>240</v>
      </c>
      <c r="IL33" s="110">
        <v>241</v>
      </c>
      <c r="IM33" s="110">
        <v>242</v>
      </c>
      <c r="IN33" s="110">
        <v>243</v>
      </c>
      <c r="IO33" s="110">
        <v>244</v>
      </c>
      <c r="IP33" s="110">
        <v>245</v>
      </c>
      <c r="IQ33" s="110">
        <v>246</v>
      </c>
      <c r="IR33" s="110">
        <v>247</v>
      </c>
      <c r="IS33" s="110">
        <v>248</v>
      </c>
      <c r="IT33" s="110">
        <v>249</v>
      </c>
      <c r="IU33" s="110">
        <v>250</v>
      </c>
      <c r="IV33" s="110">
        <v>251</v>
      </c>
      <c r="IW33" s="110">
        <v>252</v>
      </c>
      <c r="IX33" s="110">
        <v>253</v>
      </c>
      <c r="IY33" s="110">
        <v>254</v>
      </c>
      <c r="IZ33" s="110">
        <v>255</v>
      </c>
      <c r="JA33" s="110">
        <v>256</v>
      </c>
      <c r="JB33" s="110">
        <v>257</v>
      </c>
      <c r="JC33" s="110">
        <v>258</v>
      </c>
      <c r="JD33" s="110">
        <v>259</v>
      </c>
      <c r="JE33" s="110">
        <v>260</v>
      </c>
      <c r="JF33" s="110">
        <v>261</v>
      </c>
      <c r="JG33" s="110">
        <v>262</v>
      </c>
      <c r="JH33" s="110">
        <v>263</v>
      </c>
      <c r="JI33" s="110">
        <v>264</v>
      </c>
      <c r="JJ33" s="110">
        <v>265</v>
      </c>
      <c r="JK33" s="110">
        <v>266</v>
      </c>
      <c r="JL33" s="110">
        <v>267</v>
      </c>
      <c r="JM33" s="110">
        <v>268</v>
      </c>
      <c r="JN33" s="110">
        <v>269</v>
      </c>
      <c r="JO33" s="110">
        <v>270</v>
      </c>
      <c r="JP33" s="110">
        <v>271</v>
      </c>
      <c r="JQ33" s="110">
        <v>272</v>
      </c>
      <c r="JR33" s="110">
        <v>273</v>
      </c>
      <c r="JS33" s="110">
        <v>274</v>
      </c>
      <c r="JT33" s="110">
        <v>275</v>
      </c>
      <c r="JU33" s="110">
        <v>276</v>
      </c>
      <c r="JV33" s="110">
        <v>277</v>
      </c>
      <c r="JW33" s="110">
        <v>278</v>
      </c>
      <c r="JX33" s="110">
        <v>279</v>
      </c>
      <c r="JY33" s="110">
        <v>280</v>
      </c>
      <c r="JZ33" s="110">
        <v>281</v>
      </c>
      <c r="KA33" s="110">
        <v>282</v>
      </c>
      <c r="KB33" s="110">
        <v>283</v>
      </c>
      <c r="KC33" s="110">
        <v>284</v>
      </c>
      <c r="KD33" s="110">
        <v>285</v>
      </c>
      <c r="KE33" s="110">
        <v>286</v>
      </c>
      <c r="KF33" s="110">
        <v>287</v>
      </c>
      <c r="KG33" s="110">
        <v>288</v>
      </c>
      <c r="KH33" s="110">
        <v>289</v>
      </c>
      <c r="KI33" s="110">
        <v>290</v>
      </c>
      <c r="KJ33" s="110">
        <v>291</v>
      </c>
      <c r="KK33" s="110">
        <v>292</v>
      </c>
      <c r="KL33" s="110">
        <v>293</v>
      </c>
      <c r="KM33" s="110">
        <v>294</v>
      </c>
      <c r="KN33" s="110">
        <v>295</v>
      </c>
      <c r="KO33" s="110">
        <v>296</v>
      </c>
      <c r="KP33" s="110">
        <v>297</v>
      </c>
      <c r="KQ33" s="110">
        <v>298</v>
      </c>
      <c r="KR33" s="110">
        <v>299</v>
      </c>
      <c r="KS33" s="110">
        <v>300</v>
      </c>
    </row>
    <row r="34" spans="1:305">
      <c r="A34" s="95"/>
      <c r="B34" s="57" t="s">
        <v>127</v>
      </c>
      <c r="C34" s="96"/>
      <c r="D34" s="96" t="s">
        <v>128</v>
      </c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  <c r="IX34" s="96"/>
      <c r="IY34" s="96"/>
      <c r="IZ34" s="96"/>
      <c r="JA34" s="96"/>
      <c r="JB34" s="96"/>
      <c r="JC34" s="96"/>
      <c r="JD34" s="96"/>
      <c r="JE34" s="96"/>
      <c r="JF34" s="96"/>
      <c r="JG34" s="96"/>
      <c r="JH34" s="96"/>
      <c r="JI34" s="96"/>
      <c r="JJ34" s="96"/>
      <c r="JK34" s="96"/>
      <c r="JL34" s="96"/>
      <c r="JM34" s="96"/>
      <c r="JN34" s="96"/>
      <c r="JO34" s="96"/>
      <c r="JP34" s="96"/>
      <c r="JQ34" s="96"/>
      <c r="JR34" s="96"/>
      <c r="JS34" s="96"/>
      <c r="JT34" s="96"/>
      <c r="JU34" s="96"/>
      <c r="JV34" s="96"/>
      <c r="JW34" s="96"/>
      <c r="JX34" s="96"/>
      <c r="JY34" s="96"/>
      <c r="JZ34" s="96"/>
      <c r="KA34" s="96"/>
      <c r="KB34" s="96"/>
      <c r="KC34" s="96"/>
      <c r="KD34" s="96"/>
      <c r="KE34" s="96"/>
      <c r="KF34" s="96"/>
      <c r="KG34" s="96"/>
      <c r="KH34" s="96"/>
      <c r="KI34" s="96"/>
      <c r="KJ34" s="96"/>
      <c r="KK34" s="96"/>
      <c r="KL34" s="96"/>
      <c r="KM34" s="96"/>
      <c r="KN34" s="96"/>
      <c r="KO34" s="96"/>
      <c r="KP34" s="96"/>
      <c r="KQ34" s="96"/>
      <c r="KR34" s="96"/>
      <c r="KS34" s="96"/>
    </row>
    <row r="35" spans="1:305">
      <c r="A35" s="97" t="s">
        <v>41</v>
      </c>
      <c r="B35" s="58" t="str">
        <f>$B$5</f>
        <v>Tarifa Municipal</v>
      </c>
      <c r="C35" s="58"/>
      <c r="D35" s="99">
        <f>$E$5*-($H$5-100%)</f>
        <v>73.908000000000001</v>
      </c>
      <c r="E35" s="60"/>
      <c r="F35" s="104">
        <f t="shared" ref="F35:Q35" si="1">$F25/12</f>
        <v>600588.27451450506</v>
      </c>
      <c r="G35" s="104">
        <f t="shared" si="1"/>
        <v>600588.27451450506</v>
      </c>
      <c r="H35" s="104">
        <f t="shared" si="1"/>
        <v>600588.27451450506</v>
      </c>
      <c r="I35" s="104">
        <f t="shared" si="1"/>
        <v>600588.27451450506</v>
      </c>
      <c r="J35" s="104">
        <f t="shared" si="1"/>
        <v>600588.27451450506</v>
      </c>
      <c r="K35" s="104">
        <f t="shared" si="1"/>
        <v>600588.27451450506</v>
      </c>
      <c r="L35" s="104">
        <f t="shared" si="1"/>
        <v>600588.27451450506</v>
      </c>
      <c r="M35" s="104">
        <f t="shared" si="1"/>
        <v>600588.27451450506</v>
      </c>
      <c r="N35" s="104">
        <f t="shared" si="1"/>
        <v>600588.27451450506</v>
      </c>
      <c r="O35" s="104">
        <f t="shared" si="1"/>
        <v>600588.27451450506</v>
      </c>
      <c r="P35" s="104">
        <f t="shared" si="1"/>
        <v>600588.27451450506</v>
      </c>
      <c r="Q35" s="104">
        <f t="shared" si="1"/>
        <v>600588.27451450506</v>
      </c>
      <c r="R35" s="104">
        <f t="shared" ref="R35:AC35" si="2">$G25/12</f>
        <v>647350.38701791037</v>
      </c>
      <c r="S35" s="104">
        <f t="shared" si="2"/>
        <v>647350.38701791037</v>
      </c>
      <c r="T35" s="104">
        <f t="shared" si="2"/>
        <v>647350.38701791037</v>
      </c>
      <c r="U35" s="104">
        <f t="shared" si="2"/>
        <v>647350.38701791037</v>
      </c>
      <c r="V35" s="104">
        <f t="shared" si="2"/>
        <v>647350.38701791037</v>
      </c>
      <c r="W35" s="104">
        <f t="shared" si="2"/>
        <v>647350.38701791037</v>
      </c>
      <c r="X35" s="104">
        <f t="shared" si="2"/>
        <v>647350.38701791037</v>
      </c>
      <c r="Y35" s="104">
        <f t="shared" si="2"/>
        <v>647350.38701791037</v>
      </c>
      <c r="Z35" s="104">
        <f t="shared" si="2"/>
        <v>647350.38701791037</v>
      </c>
      <c r="AA35" s="104">
        <f t="shared" si="2"/>
        <v>647350.38701791037</v>
      </c>
      <c r="AB35" s="104">
        <f t="shared" si="2"/>
        <v>647350.38701791037</v>
      </c>
      <c r="AC35" s="104">
        <f t="shared" si="2"/>
        <v>647350.38701791037</v>
      </c>
      <c r="AD35" s="104">
        <f t="shared" ref="AD35:AO35" si="3">$H25/12</f>
        <v>697753.41798627435</v>
      </c>
      <c r="AE35" s="104">
        <f t="shared" si="3"/>
        <v>697753.41798627435</v>
      </c>
      <c r="AF35" s="104">
        <f t="shared" si="3"/>
        <v>697753.41798627435</v>
      </c>
      <c r="AG35" s="104">
        <f t="shared" si="3"/>
        <v>697753.41798627435</v>
      </c>
      <c r="AH35" s="104">
        <f t="shared" si="3"/>
        <v>697753.41798627435</v>
      </c>
      <c r="AI35" s="104">
        <f t="shared" si="3"/>
        <v>697753.41798627435</v>
      </c>
      <c r="AJ35" s="104">
        <f t="shared" si="3"/>
        <v>697753.41798627435</v>
      </c>
      <c r="AK35" s="104">
        <f t="shared" si="3"/>
        <v>697753.41798627435</v>
      </c>
      <c r="AL35" s="104">
        <f t="shared" si="3"/>
        <v>697753.41798627435</v>
      </c>
      <c r="AM35" s="104">
        <f t="shared" si="3"/>
        <v>697753.41798627435</v>
      </c>
      <c r="AN35" s="104">
        <f t="shared" si="3"/>
        <v>697753.41798627435</v>
      </c>
      <c r="AO35" s="104">
        <f t="shared" si="3"/>
        <v>697753.41798627435</v>
      </c>
      <c r="AP35" s="104">
        <f t="shared" ref="AP35:BA35" si="4">$I25/12</f>
        <v>752080.88100564678</v>
      </c>
      <c r="AQ35" s="104">
        <f t="shared" si="4"/>
        <v>752080.88100564678</v>
      </c>
      <c r="AR35" s="104">
        <f t="shared" si="4"/>
        <v>752080.88100564678</v>
      </c>
      <c r="AS35" s="104">
        <f t="shared" si="4"/>
        <v>752080.88100564678</v>
      </c>
      <c r="AT35" s="104">
        <f t="shared" si="4"/>
        <v>752080.88100564678</v>
      </c>
      <c r="AU35" s="104">
        <f t="shared" si="4"/>
        <v>752080.88100564678</v>
      </c>
      <c r="AV35" s="104">
        <f t="shared" si="4"/>
        <v>752080.88100564678</v>
      </c>
      <c r="AW35" s="104">
        <f t="shared" si="4"/>
        <v>752080.88100564678</v>
      </c>
      <c r="AX35" s="104">
        <f t="shared" si="4"/>
        <v>752080.88100564678</v>
      </c>
      <c r="AY35" s="104">
        <f t="shared" si="4"/>
        <v>752080.88100564678</v>
      </c>
      <c r="AZ35" s="104">
        <f t="shared" si="4"/>
        <v>752080.88100564678</v>
      </c>
      <c r="BA35" s="104">
        <f t="shared" si="4"/>
        <v>752080.88100564678</v>
      </c>
      <c r="BB35" s="104">
        <f t="shared" ref="BB35:BM35" si="5">$J25/12</f>
        <v>810638.26688540913</v>
      </c>
      <c r="BC35" s="104">
        <f t="shared" si="5"/>
        <v>810638.26688540913</v>
      </c>
      <c r="BD35" s="104">
        <f t="shared" si="5"/>
        <v>810638.26688540913</v>
      </c>
      <c r="BE35" s="104">
        <f t="shared" si="5"/>
        <v>810638.26688540913</v>
      </c>
      <c r="BF35" s="104">
        <f t="shared" si="5"/>
        <v>810638.26688540913</v>
      </c>
      <c r="BG35" s="104">
        <f t="shared" si="5"/>
        <v>810638.26688540913</v>
      </c>
      <c r="BH35" s="104">
        <f t="shared" si="5"/>
        <v>810638.26688540913</v>
      </c>
      <c r="BI35" s="104">
        <f t="shared" si="5"/>
        <v>810638.26688540913</v>
      </c>
      <c r="BJ35" s="104">
        <f t="shared" si="5"/>
        <v>810638.26688540913</v>
      </c>
      <c r="BK35" s="104">
        <f t="shared" si="5"/>
        <v>810638.26688540913</v>
      </c>
      <c r="BL35" s="104">
        <f t="shared" si="5"/>
        <v>810638.26688540913</v>
      </c>
      <c r="BM35" s="104">
        <f t="shared" si="5"/>
        <v>810638.26688540913</v>
      </c>
      <c r="BN35" s="104">
        <f t="shared" ref="BN35:BY35" si="6">$K25/12</f>
        <v>873754.99489356496</v>
      </c>
      <c r="BO35" s="104">
        <f t="shared" si="6"/>
        <v>873754.99489356496</v>
      </c>
      <c r="BP35" s="104">
        <f t="shared" si="6"/>
        <v>873754.99489356496</v>
      </c>
      <c r="BQ35" s="104">
        <f t="shared" si="6"/>
        <v>873754.99489356496</v>
      </c>
      <c r="BR35" s="104">
        <f t="shared" si="6"/>
        <v>873754.99489356496</v>
      </c>
      <c r="BS35" s="104">
        <f t="shared" si="6"/>
        <v>873754.99489356496</v>
      </c>
      <c r="BT35" s="104">
        <f t="shared" si="6"/>
        <v>873754.99489356496</v>
      </c>
      <c r="BU35" s="104">
        <f t="shared" si="6"/>
        <v>873754.99489356496</v>
      </c>
      <c r="BV35" s="104">
        <f t="shared" si="6"/>
        <v>873754.99489356496</v>
      </c>
      <c r="BW35" s="104">
        <f t="shared" si="6"/>
        <v>873754.99489356496</v>
      </c>
      <c r="BX35" s="104">
        <f t="shared" si="6"/>
        <v>873754.99489356496</v>
      </c>
      <c r="BY35" s="104">
        <f t="shared" si="6"/>
        <v>873754.99489356496</v>
      </c>
      <c r="BZ35" s="104">
        <f t="shared" ref="BZ35:CK35" si="7">$L25/12</f>
        <v>941786.00192064652</v>
      </c>
      <c r="CA35" s="104">
        <f t="shared" si="7"/>
        <v>941786.00192064652</v>
      </c>
      <c r="CB35" s="104">
        <f t="shared" si="7"/>
        <v>941786.00192064652</v>
      </c>
      <c r="CC35" s="104">
        <f t="shared" si="7"/>
        <v>941786.00192064652</v>
      </c>
      <c r="CD35" s="104">
        <f t="shared" si="7"/>
        <v>941786.00192064652</v>
      </c>
      <c r="CE35" s="104">
        <f t="shared" si="7"/>
        <v>941786.00192064652</v>
      </c>
      <c r="CF35" s="104">
        <f t="shared" si="7"/>
        <v>941786.00192064652</v>
      </c>
      <c r="CG35" s="104">
        <f t="shared" si="7"/>
        <v>941786.00192064652</v>
      </c>
      <c r="CH35" s="104">
        <f t="shared" si="7"/>
        <v>941786.00192064652</v>
      </c>
      <c r="CI35" s="104">
        <f t="shared" si="7"/>
        <v>941786.00192064652</v>
      </c>
      <c r="CJ35" s="104">
        <f t="shared" si="7"/>
        <v>941786.00192064652</v>
      </c>
      <c r="CK35" s="104">
        <f t="shared" si="7"/>
        <v>941786.00192064652</v>
      </c>
      <c r="CL35" s="104">
        <f t="shared" ref="CL35:CW35" si="8">$M25/12</f>
        <v>1015113.9667269351</v>
      </c>
      <c r="CM35" s="104">
        <f t="shared" si="8"/>
        <v>1015113.9667269351</v>
      </c>
      <c r="CN35" s="104">
        <f t="shared" si="8"/>
        <v>1015113.9667269351</v>
      </c>
      <c r="CO35" s="104">
        <f t="shared" si="8"/>
        <v>1015113.9667269351</v>
      </c>
      <c r="CP35" s="104">
        <f t="shared" si="8"/>
        <v>1015113.9667269351</v>
      </c>
      <c r="CQ35" s="104">
        <f t="shared" si="8"/>
        <v>1015113.9667269351</v>
      </c>
      <c r="CR35" s="104">
        <f t="shared" si="8"/>
        <v>1015113.9667269351</v>
      </c>
      <c r="CS35" s="104">
        <f t="shared" si="8"/>
        <v>1015113.9667269351</v>
      </c>
      <c r="CT35" s="104">
        <f t="shared" si="8"/>
        <v>1015113.9667269351</v>
      </c>
      <c r="CU35" s="104">
        <f t="shared" si="8"/>
        <v>1015113.9667269351</v>
      </c>
      <c r="CV35" s="104">
        <f t="shared" si="8"/>
        <v>1015113.9667269351</v>
      </c>
      <c r="CW35" s="104">
        <f t="shared" si="8"/>
        <v>1015113.9667269351</v>
      </c>
      <c r="CX35" s="104">
        <f t="shared" ref="CX35:DI35" si="9">$N25/12</f>
        <v>1094151.2715047367</v>
      </c>
      <c r="CY35" s="104">
        <f t="shared" si="9"/>
        <v>1094151.2715047367</v>
      </c>
      <c r="CZ35" s="104">
        <f t="shared" si="9"/>
        <v>1094151.2715047367</v>
      </c>
      <c r="DA35" s="104">
        <f t="shared" si="9"/>
        <v>1094151.2715047367</v>
      </c>
      <c r="DB35" s="104">
        <f t="shared" si="9"/>
        <v>1094151.2715047367</v>
      </c>
      <c r="DC35" s="104">
        <f t="shared" si="9"/>
        <v>1094151.2715047367</v>
      </c>
      <c r="DD35" s="104">
        <f t="shared" si="9"/>
        <v>1094151.2715047367</v>
      </c>
      <c r="DE35" s="104">
        <f t="shared" si="9"/>
        <v>1094151.2715047367</v>
      </c>
      <c r="DF35" s="104">
        <f t="shared" si="9"/>
        <v>1094151.2715047367</v>
      </c>
      <c r="DG35" s="104">
        <f t="shared" si="9"/>
        <v>1094151.2715047367</v>
      </c>
      <c r="DH35" s="104">
        <f t="shared" si="9"/>
        <v>1094151.2715047367</v>
      </c>
      <c r="DI35" s="104">
        <f t="shared" si="9"/>
        <v>1094151.2715047367</v>
      </c>
      <c r="DJ35" s="104">
        <f t="shared" ref="DJ35:DU35" si="10">$O25/12</f>
        <v>1179342.4629396752</v>
      </c>
      <c r="DK35" s="104">
        <f t="shared" si="10"/>
        <v>1179342.4629396752</v>
      </c>
      <c r="DL35" s="104">
        <f t="shared" si="10"/>
        <v>1179342.4629396752</v>
      </c>
      <c r="DM35" s="104">
        <f t="shared" si="10"/>
        <v>1179342.4629396752</v>
      </c>
      <c r="DN35" s="104">
        <f t="shared" si="10"/>
        <v>1179342.4629396752</v>
      </c>
      <c r="DO35" s="104">
        <f t="shared" si="10"/>
        <v>1179342.4629396752</v>
      </c>
      <c r="DP35" s="104">
        <f t="shared" si="10"/>
        <v>1179342.4629396752</v>
      </c>
      <c r="DQ35" s="104">
        <f t="shared" si="10"/>
        <v>1179342.4629396752</v>
      </c>
      <c r="DR35" s="104">
        <f t="shared" si="10"/>
        <v>1179342.4629396752</v>
      </c>
      <c r="DS35" s="104">
        <f t="shared" si="10"/>
        <v>1179342.4629396752</v>
      </c>
      <c r="DT35" s="104">
        <f t="shared" si="10"/>
        <v>1179342.4629396752</v>
      </c>
      <c r="DU35" s="104">
        <f t="shared" si="10"/>
        <v>1179342.4629396752</v>
      </c>
      <c r="DV35" s="104">
        <f t="shared" ref="DV35:EG35" si="11">$P25/12</f>
        <v>1271166.6608161491</v>
      </c>
      <c r="DW35" s="104">
        <f t="shared" si="11"/>
        <v>1271166.6608161491</v>
      </c>
      <c r="DX35" s="104">
        <f t="shared" si="11"/>
        <v>1271166.6608161491</v>
      </c>
      <c r="DY35" s="104">
        <f t="shared" si="11"/>
        <v>1271166.6608161491</v>
      </c>
      <c r="DZ35" s="104">
        <f t="shared" si="11"/>
        <v>1271166.6608161491</v>
      </c>
      <c r="EA35" s="104">
        <f t="shared" si="11"/>
        <v>1271166.6608161491</v>
      </c>
      <c r="EB35" s="104">
        <f t="shared" si="11"/>
        <v>1271166.6608161491</v>
      </c>
      <c r="EC35" s="104">
        <f t="shared" si="11"/>
        <v>1271166.6608161491</v>
      </c>
      <c r="ED35" s="104">
        <f t="shared" si="11"/>
        <v>1271166.6608161491</v>
      </c>
      <c r="EE35" s="104">
        <f t="shared" si="11"/>
        <v>1271166.6608161491</v>
      </c>
      <c r="EF35" s="104">
        <f t="shared" si="11"/>
        <v>1271166.6608161491</v>
      </c>
      <c r="EG35" s="104">
        <f t="shared" si="11"/>
        <v>1271166.6608161491</v>
      </c>
      <c r="EH35" s="104">
        <f t="shared" ref="EH35:ES35" si="12">$Q25/12</f>
        <v>1370140.3585126454</v>
      </c>
      <c r="EI35" s="104">
        <f t="shared" si="12"/>
        <v>1370140.3585126454</v>
      </c>
      <c r="EJ35" s="104">
        <f t="shared" si="12"/>
        <v>1370140.3585126454</v>
      </c>
      <c r="EK35" s="104">
        <f t="shared" si="12"/>
        <v>1370140.3585126454</v>
      </c>
      <c r="EL35" s="104">
        <f t="shared" si="12"/>
        <v>1370140.3585126454</v>
      </c>
      <c r="EM35" s="104">
        <f t="shared" si="12"/>
        <v>1370140.3585126454</v>
      </c>
      <c r="EN35" s="104">
        <f t="shared" si="12"/>
        <v>1370140.3585126454</v>
      </c>
      <c r="EO35" s="104">
        <f t="shared" si="12"/>
        <v>1370140.3585126454</v>
      </c>
      <c r="EP35" s="104">
        <f t="shared" si="12"/>
        <v>1370140.3585126454</v>
      </c>
      <c r="EQ35" s="104">
        <f t="shared" si="12"/>
        <v>1370140.3585126454</v>
      </c>
      <c r="ER35" s="104">
        <f t="shared" si="12"/>
        <v>1370140.3585126454</v>
      </c>
      <c r="ES35" s="104">
        <f t="shared" si="12"/>
        <v>1370140.3585126454</v>
      </c>
      <c r="ET35" s="104">
        <f t="shared" ref="ET35:FE35" si="13">$R25/12</f>
        <v>1476820.2241265827</v>
      </c>
      <c r="EU35" s="104">
        <f t="shared" si="13"/>
        <v>1476820.2241265827</v>
      </c>
      <c r="EV35" s="104">
        <f t="shared" si="13"/>
        <v>1476820.2241265827</v>
      </c>
      <c r="EW35" s="104">
        <f t="shared" si="13"/>
        <v>1476820.2241265827</v>
      </c>
      <c r="EX35" s="104">
        <f t="shared" si="13"/>
        <v>1476820.2241265827</v>
      </c>
      <c r="EY35" s="104">
        <f t="shared" si="13"/>
        <v>1476820.2241265827</v>
      </c>
      <c r="EZ35" s="104">
        <f t="shared" si="13"/>
        <v>1476820.2241265827</v>
      </c>
      <c r="FA35" s="104">
        <f t="shared" si="13"/>
        <v>1476820.2241265827</v>
      </c>
      <c r="FB35" s="104">
        <f t="shared" si="13"/>
        <v>1476820.2241265827</v>
      </c>
      <c r="FC35" s="104">
        <f t="shared" si="13"/>
        <v>1476820.2241265827</v>
      </c>
      <c r="FD35" s="104">
        <f t="shared" si="13"/>
        <v>1476820.2241265827</v>
      </c>
      <c r="FE35" s="104">
        <f t="shared" si="13"/>
        <v>1476820.2241265827</v>
      </c>
      <c r="FF35" s="104">
        <f t="shared" ref="FF35:FQ35" si="14">$S25/12</f>
        <v>1591806.2165750554</v>
      </c>
      <c r="FG35" s="104">
        <f t="shared" si="14"/>
        <v>1591806.2165750554</v>
      </c>
      <c r="FH35" s="104">
        <f t="shared" si="14"/>
        <v>1591806.2165750554</v>
      </c>
      <c r="FI35" s="104">
        <f t="shared" si="14"/>
        <v>1591806.2165750554</v>
      </c>
      <c r="FJ35" s="104">
        <f t="shared" si="14"/>
        <v>1591806.2165750554</v>
      </c>
      <c r="FK35" s="104">
        <f t="shared" si="14"/>
        <v>1591806.2165750554</v>
      </c>
      <c r="FL35" s="104">
        <f t="shared" si="14"/>
        <v>1591806.2165750554</v>
      </c>
      <c r="FM35" s="104">
        <f t="shared" si="14"/>
        <v>1591806.2165750554</v>
      </c>
      <c r="FN35" s="104">
        <f t="shared" si="14"/>
        <v>1591806.2165750554</v>
      </c>
      <c r="FO35" s="104">
        <f t="shared" si="14"/>
        <v>1591806.2165750554</v>
      </c>
      <c r="FP35" s="104">
        <f t="shared" si="14"/>
        <v>1591806.2165750554</v>
      </c>
      <c r="FQ35" s="104">
        <f t="shared" si="14"/>
        <v>1591806.2165750554</v>
      </c>
      <c r="FR35" s="104">
        <f t="shared" ref="FR35:GC35" si="15">$T25/12</f>
        <v>1715745.0397584511</v>
      </c>
      <c r="FS35" s="104">
        <f t="shared" si="15"/>
        <v>1715745.0397584511</v>
      </c>
      <c r="FT35" s="104">
        <f t="shared" si="15"/>
        <v>1715745.0397584511</v>
      </c>
      <c r="FU35" s="104">
        <f t="shared" si="15"/>
        <v>1715745.0397584511</v>
      </c>
      <c r="FV35" s="104">
        <f t="shared" si="15"/>
        <v>1715745.0397584511</v>
      </c>
      <c r="FW35" s="104">
        <f t="shared" si="15"/>
        <v>1715745.0397584511</v>
      </c>
      <c r="FX35" s="104">
        <f t="shared" si="15"/>
        <v>1715745.0397584511</v>
      </c>
      <c r="FY35" s="104">
        <f t="shared" si="15"/>
        <v>1715745.0397584511</v>
      </c>
      <c r="FZ35" s="104">
        <f t="shared" si="15"/>
        <v>1715745.0397584511</v>
      </c>
      <c r="GA35" s="104">
        <f t="shared" si="15"/>
        <v>1715745.0397584511</v>
      </c>
      <c r="GB35" s="104">
        <f t="shared" si="15"/>
        <v>1715745.0397584511</v>
      </c>
      <c r="GC35" s="104">
        <f t="shared" si="15"/>
        <v>1715745.0397584511</v>
      </c>
      <c r="GD35" s="104">
        <f t="shared" ref="GD35:GO35" si="16">$U25/12</f>
        <v>1849333.8440727133</v>
      </c>
      <c r="GE35" s="104">
        <f t="shared" si="16"/>
        <v>1849333.8440727133</v>
      </c>
      <c r="GF35" s="104">
        <f t="shared" si="16"/>
        <v>1849333.8440727133</v>
      </c>
      <c r="GG35" s="104">
        <f t="shared" si="16"/>
        <v>1849333.8440727133</v>
      </c>
      <c r="GH35" s="104">
        <f t="shared" si="16"/>
        <v>1849333.8440727133</v>
      </c>
      <c r="GI35" s="104">
        <f t="shared" si="16"/>
        <v>1849333.8440727133</v>
      </c>
      <c r="GJ35" s="104">
        <f t="shared" si="16"/>
        <v>1849333.8440727133</v>
      </c>
      <c r="GK35" s="104">
        <f t="shared" si="16"/>
        <v>1849333.8440727133</v>
      </c>
      <c r="GL35" s="104">
        <f t="shared" si="16"/>
        <v>1849333.8440727133</v>
      </c>
      <c r="GM35" s="104">
        <f t="shared" si="16"/>
        <v>1849333.8440727133</v>
      </c>
      <c r="GN35" s="104">
        <f t="shared" si="16"/>
        <v>1849333.8440727133</v>
      </c>
      <c r="GO35" s="104">
        <f t="shared" si="16"/>
        <v>1849333.8440727133</v>
      </c>
      <c r="GP35" s="104">
        <f t="shared" ref="GP35:HA35" si="17">$V25/12</f>
        <v>1993323.9567127067</v>
      </c>
      <c r="GQ35" s="104">
        <f t="shared" si="17"/>
        <v>1993323.9567127067</v>
      </c>
      <c r="GR35" s="104">
        <f t="shared" si="17"/>
        <v>1993323.9567127067</v>
      </c>
      <c r="GS35" s="104">
        <f t="shared" si="17"/>
        <v>1993323.9567127067</v>
      </c>
      <c r="GT35" s="104">
        <f t="shared" si="17"/>
        <v>1993323.9567127067</v>
      </c>
      <c r="GU35" s="104">
        <f t="shared" si="17"/>
        <v>1993323.9567127067</v>
      </c>
      <c r="GV35" s="104">
        <f t="shared" si="17"/>
        <v>1993323.9567127067</v>
      </c>
      <c r="GW35" s="104">
        <f t="shared" si="17"/>
        <v>1993323.9567127067</v>
      </c>
      <c r="GX35" s="104">
        <f t="shared" si="17"/>
        <v>1993323.9567127067</v>
      </c>
      <c r="GY35" s="104">
        <f t="shared" si="17"/>
        <v>1993323.9567127067</v>
      </c>
      <c r="GZ35" s="104">
        <f t="shared" si="17"/>
        <v>1993323.9567127067</v>
      </c>
      <c r="HA35" s="104">
        <f t="shared" si="17"/>
        <v>1993323.9567127067</v>
      </c>
      <c r="HB35" s="104">
        <f t="shared" ref="HB35:HM35" si="18">$W25/12</f>
        <v>2148525.1890611942</v>
      </c>
      <c r="HC35" s="104">
        <f t="shared" si="18"/>
        <v>2148525.1890611942</v>
      </c>
      <c r="HD35" s="104">
        <f t="shared" si="18"/>
        <v>2148525.1890611942</v>
      </c>
      <c r="HE35" s="104">
        <f t="shared" si="18"/>
        <v>2148525.1890611942</v>
      </c>
      <c r="HF35" s="104">
        <f t="shared" si="18"/>
        <v>2148525.1890611942</v>
      </c>
      <c r="HG35" s="104">
        <f t="shared" si="18"/>
        <v>2148525.1890611942</v>
      </c>
      <c r="HH35" s="104">
        <f t="shared" si="18"/>
        <v>2148525.1890611942</v>
      </c>
      <c r="HI35" s="104">
        <f t="shared" si="18"/>
        <v>2148525.1890611942</v>
      </c>
      <c r="HJ35" s="104">
        <f t="shared" si="18"/>
        <v>2148525.1890611942</v>
      </c>
      <c r="HK35" s="104">
        <f t="shared" si="18"/>
        <v>2148525.1890611942</v>
      </c>
      <c r="HL35" s="104">
        <f t="shared" si="18"/>
        <v>2148525.1890611942</v>
      </c>
      <c r="HM35" s="104">
        <f t="shared" si="18"/>
        <v>2148525.1890611942</v>
      </c>
      <c r="HN35" s="104">
        <f t="shared" ref="HN35:HY35" si="19">$X25/12</f>
        <v>2315810.450777234</v>
      </c>
      <c r="HO35" s="104">
        <f t="shared" si="19"/>
        <v>2315810.450777234</v>
      </c>
      <c r="HP35" s="104">
        <f t="shared" si="19"/>
        <v>2315810.450777234</v>
      </c>
      <c r="HQ35" s="104">
        <f t="shared" si="19"/>
        <v>2315810.450777234</v>
      </c>
      <c r="HR35" s="104">
        <f t="shared" si="19"/>
        <v>2315810.450777234</v>
      </c>
      <c r="HS35" s="104">
        <f t="shared" si="19"/>
        <v>2315810.450777234</v>
      </c>
      <c r="HT35" s="104">
        <f t="shared" si="19"/>
        <v>2315810.450777234</v>
      </c>
      <c r="HU35" s="104">
        <f t="shared" si="19"/>
        <v>2315810.450777234</v>
      </c>
      <c r="HV35" s="104">
        <f t="shared" si="19"/>
        <v>2315810.450777234</v>
      </c>
      <c r="HW35" s="104">
        <f t="shared" si="19"/>
        <v>2315810.450777234</v>
      </c>
      <c r="HX35" s="104">
        <f t="shared" si="19"/>
        <v>2315810.450777234</v>
      </c>
      <c r="HY35" s="104">
        <f t="shared" si="19"/>
        <v>2315810.450777234</v>
      </c>
      <c r="HZ35" s="104">
        <f t="shared" ref="HZ35:IK35" si="20">$Y25/12</f>
        <v>2496120.6759907617</v>
      </c>
      <c r="IA35" s="104">
        <f t="shared" si="20"/>
        <v>2496120.6759907617</v>
      </c>
      <c r="IB35" s="104">
        <f t="shared" si="20"/>
        <v>2496120.6759907617</v>
      </c>
      <c r="IC35" s="104">
        <f t="shared" si="20"/>
        <v>2496120.6759907617</v>
      </c>
      <c r="ID35" s="104">
        <f t="shared" si="20"/>
        <v>2496120.6759907617</v>
      </c>
      <c r="IE35" s="104">
        <f t="shared" si="20"/>
        <v>2496120.6759907617</v>
      </c>
      <c r="IF35" s="104">
        <f t="shared" si="20"/>
        <v>2496120.6759907617</v>
      </c>
      <c r="IG35" s="104">
        <f t="shared" si="20"/>
        <v>2496120.6759907617</v>
      </c>
      <c r="IH35" s="104">
        <f t="shared" si="20"/>
        <v>2496120.6759907617</v>
      </c>
      <c r="II35" s="104">
        <f t="shared" si="20"/>
        <v>2496120.6759907617</v>
      </c>
      <c r="IJ35" s="104">
        <f t="shared" si="20"/>
        <v>2496120.6759907617</v>
      </c>
      <c r="IK35" s="104">
        <f t="shared" si="20"/>
        <v>2496120.6759907617</v>
      </c>
      <c r="IL35" s="104">
        <f t="shared" ref="IL35:IW35" si="21">$Z25/12</f>
        <v>2690469.9167959997</v>
      </c>
      <c r="IM35" s="104">
        <f t="shared" si="21"/>
        <v>2690469.9167959997</v>
      </c>
      <c r="IN35" s="104">
        <f t="shared" si="21"/>
        <v>2690469.9167959997</v>
      </c>
      <c r="IO35" s="104">
        <f t="shared" si="21"/>
        <v>2690469.9167959997</v>
      </c>
      <c r="IP35" s="104">
        <f t="shared" si="21"/>
        <v>2690469.9167959997</v>
      </c>
      <c r="IQ35" s="104">
        <f t="shared" si="21"/>
        <v>2690469.9167959997</v>
      </c>
      <c r="IR35" s="104">
        <f t="shared" si="21"/>
        <v>2690469.9167959997</v>
      </c>
      <c r="IS35" s="104">
        <f t="shared" si="21"/>
        <v>2690469.9167959997</v>
      </c>
      <c r="IT35" s="104">
        <f t="shared" si="21"/>
        <v>2690469.9167959997</v>
      </c>
      <c r="IU35" s="104">
        <f t="shared" si="21"/>
        <v>2690469.9167959997</v>
      </c>
      <c r="IV35" s="104">
        <f t="shared" si="21"/>
        <v>2690469.9167959997</v>
      </c>
      <c r="IW35" s="104">
        <f t="shared" si="21"/>
        <v>2690469.9167959997</v>
      </c>
      <c r="IX35" s="104">
        <f t="shared" ref="IX35:JI35" si="22">$AA25/12</f>
        <v>2899951.3073940887</v>
      </c>
      <c r="IY35" s="104">
        <f t="shared" si="22"/>
        <v>2899951.3073940887</v>
      </c>
      <c r="IZ35" s="104">
        <f t="shared" si="22"/>
        <v>2899951.3073940887</v>
      </c>
      <c r="JA35" s="104">
        <f t="shared" si="22"/>
        <v>2899951.3073940887</v>
      </c>
      <c r="JB35" s="104">
        <f t="shared" si="22"/>
        <v>2899951.3073940887</v>
      </c>
      <c r="JC35" s="104">
        <f t="shared" si="22"/>
        <v>2899951.3073940887</v>
      </c>
      <c r="JD35" s="104">
        <f t="shared" si="22"/>
        <v>2899951.3073940887</v>
      </c>
      <c r="JE35" s="104">
        <f t="shared" si="22"/>
        <v>2899951.3073940887</v>
      </c>
      <c r="JF35" s="104">
        <f t="shared" si="22"/>
        <v>2899951.3073940887</v>
      </c>
      <c r="JG35" s="104">
        <f t="shared" si="22"/>
        <v>2899951.3073940887</v>
      </c>
      <c r="JH35" s="104">
        <f t="shared" si="22"/>
        <v>2899951.3073940887</v>
      </c>
      <c r="JI35" s="104">
        <f t="shared" si="22"/>
        <v>2899951.3073940887</v>
      </c>
      <c r="JJ35" s="104">
        <f t="shared" ref="JJ35:JU35" si="23">$AB25/12</f>
        <v>3125743.0078903772</v>
      </c>
      <c r="JK35" s="104">
        <f t="shared" si="23"/>
        <v>3125743.0078903772</v>
      </c>
      <c r="JL35" s="104">
        <f t="shared" si="23"/>
        <v>3125743.0078903772</v>
      </c>
      <c r="JM35" s="104">
        <f t="shared" si="23"/>
        <v>3125743.0078903772</v>
      </c>
      <c r="JN35" s="104">
        <f t="shared" si="23"/>
        <v>3125743.0078903772</v>
      </c>
      <c r="JO35" s="104">
        <f t="shared" si="23"/>
        <v>3125743.0078903772</v>
      </c>
      <c r="JP35" s="104">
        <f t="shared" si="23"/>
        <v>3125743.0078903772</v>
      </c>
      <c r="JQ35" s="104">
        <f t="shared" si="23"/>
        <v>3125743.0078903772</v>
      </c>
      <c r="JR35" s="104">
        <f t="shared" si="23"/>
        <v>3125743.0078903772</v>
      </c>
      <c r="JS35" s="104">
        <f t="shared" si="23"/>
        <v>3125743.0078903772</v>
      </c>
      <c r="JT35" s="104">
        <f t="shared" si="23"/>
        <v>3125743.0078903772</v>
      </c>
      <c r="JU35" s="104">
        <f t="shared" si="23"/>
        <v>3125743.0078903772</v>
      </c>
      <c r="JV35" s="104">
        <f t="shared" ref="JV35:KG35" si="24">$AC25/12</f>
        <v>3369115.0670063365</v>
      </c>
      <c r="JW35" s="104">
        <f t="shared" si="24"/>
        <v>3369115.0670063365</v>
      </c>
      <c r="JX35" s="104">
        <f t="shared" si="24"/>
        <v>3369115.0670063365</v>
      </c>
      <c r="JY35" s="104">
        <f t="shared" si="24"/>
        <v>3369115.0670063365</v>
      </c>
      <c r="JZ35" s="104">
        <f t="shared" si="24"/>
        <v>3369115.0670063365</v>
      </c>
      <c r="KA35" s="104">
        <f t="shared" si="24"/>
        <v>3369115.0670063365</v>
      </c>
      <c r="KB35" s="104">
        <f t="shared" si="24"/>
        <v>3369115.0670063365</v>
      </c>
      <c r="KC35" s="104">
        <f t="shared" si="24"/>
        <v>3369115.0670063365</v>
      </c>
      <c r="KD35" s="104">
        <f t="shared" si="24"/>
        <v>3369115.0670063365</v>
      </c>
      <c r="KE35" s="104">
        <f t="shared" si="24"/>
        <v>3369115.0670063365</v>
      </c>
      <c r="KF35" s="104">
        <f t="shared" si="24"/>
        <v>3369115.0670063365</v>
      </c>
      <c r="KG35" s="104">
        <f t="shared" si="24"/>
        <v>3369115.0670063365</v>
      </c>
      <c r="KH35" s="104">
        <f t="shared" ref="KH35:KS35" si="25">$AD25/12</f>
        <v>3631436.0482245865</v>
      </c>
      <c r="KI35" s="104">
        <f t="shared" si="25"/>
        <v>3631436.0482245865</v>
      </c>
      <c r="KJ35" s="104">
        <f t="shared" si="25"/>
        <v>3631436.0482245865</v>
      </c>
      <c r="KK35" s="104">
        <f t="shared" si="25"/>
        <v>3631436.0482245865</v>
      </c>
      <c r="KL35" s="104">
        <f t="shared" si="25"/>
        <v>3631436.0482245865</v>
      </c>
      <c r="KM35" s="104">
        <f t="shared" si="25"/>
        <v>3631436.0482245865</v>
      </c>
      <c r="KN35" s="104">
        <f t="shared" si="25"/>
        <v>3631436.0482245865</v>
      </c>
      <c r="KO35" s="104">
        <f t="shared" si="25"/>
        <v>3631436.0482245865</v>
      </c>
      <c r="KP35" s="104">
        <f t="shared" si="25"/>
        <v>3631436.0482245865</v>
      </c>
      <c r="KQ35" s="104">
        <f t="shared" si="25"/>
        <v>3631436.0482245865</v>
      </c>
      <c r="KR35" s="104">
        <f t="shared" si="25"/>
        <v>3631436.0482245865</v>
      </c>
      <c r="KS35" s="104">
        <f t="shared" si="25"/>
        <v>3631436.0482245865</v>
      </c>
    </row>
    <row r="36" spans="1:305">
      <c r="A36" s="97" t="s">
        <v>44</v>
      </c>
      <c r="B36" s="58" t="str">
        <f>$B$6</f>
        <v>Materiais Recicláveis</v>
      </c>
      <c r="C36" s="58"/>
      <c r="D36" s="99">
        <f>$E$6</f>
        <v>710.78562132352954</v>
      </c>
      <c r="E36" s="60"/>
      <c r="F36" s="104">
        <f t="shared" ref="F36:Q36" si="26">$F26/12</f>
        <v>565581.83295729058</v>
      </c>
      <c r="G36" s="104">
        <f t="shared" si="26"/>
        <v>565581.83295729058</v>
      </c>
      <c r="H36" s="104">
        <f t="shared" si="26"/>
        <v>565581.83295729058</v>
      </c>
      <c r="I36" s="104">
        <f t="shared" si="26"/>
        <v>565581.83295729058</v>
      </c>
      <c r="J36" s="104">
        <f t="shared" si="26"/>
        <v>565581.83295729058</v>
      </c>
      <c r="K36" s="104">
        <f t="shared" si="26"/>
        <v>565581.83295729058</v>
      </c>
      <c r="L36" s="104">
        <f t="shared" si="26"/>
        <v>565581.83295729058</v>
      </c>
      <c r="M36" s="104">
        <f t="shared" si="26"/>
        <v>565581.83295729058</v>
      </c>
      <c r="N36" s="104">
        <f t="shared" si="26"/>
        <v>565581.83295729058</v>
      </c>
      <c r="O36" s="104">
        <f t="shared" si="26"/>
        <v>565581.83295729058</v>
      </c>
      <c r="P36" s="104">
        <f t="shared" si="26"/>
        <v>565581.83295729058</v>
      </c>
      <c r="Q36" s="104">
        <f t="shared" si="26"/>
        <v>565581.83295729058</v>
      </c>
      <c r="R36" s="104">
        <f t="shared" ref="R36:AC36" si="27">$G26/12</f>
        <v>609618.36857375724</v>
      </c>
      <c r="S36" s="104">
        <f t="shared" si="27"/>
        <v>609618.36857375724</v>
      </c>
      <c r="T36" s="104">
        <f t="shared" si="27"/>
        <v>609618.36857375724</v>
      </c>
      <c r="U36" s="104">
        <f t="shared" si="27"/>
        <v>609618.36857375724</v>
      </c>
      <c r="V36" s="104">
        <f t="shared" si="27"/>
        <v>609618.36857375724</v>
      </c>
      <c r="W36" s="104">
        <f t="shared" si="27"/>
        <v>609618.36857375724</v>
      </c>
      <c r="X36" s="104">
        <f t="shared" si="27"/>
        <v>609618.36857375724</v>
      </c>
      <c r="Y36" s="104">
        <f t="shared" si="27"/>
        <v>609618.36857375724</v>
      </c>
      <c r="Z36" s="104">
        <f t="shared" si="27"/>
        <v>609618.36857375724</v>
      </c>
      <c r="AA36" s="104">
        <f t="shared" si="27"/>
        <v>609618.36857375724</v>
      </c>
      <c r="AB36" s="104">
        <f t="shared" si="27"/>
        <v>609618.36857375724</v>
      </c>
      <c r="AC36" s="104">
        <f t="shared" si="27"/>
        <v>609618.36857375724</v>
      </c>
      <c r="AD36" s="104">
        <f t="shared" ref="AD36:AO36" si="28">$H26/12</f>
        <v>657083.44615745428</v>
      </c>
      <c r="AE36" s="104">
        <f t="shared" si="28"/>
        <v>657083.44615745428</v>
      </c>
      <c r="AF36" s="104">
        <f t="shared" si="28"/>
        <v>657083.44615745428</v>
      </c>
      <c r="AG36" s="104">
        <f t="shared" si="28"/>
        <v>657083.44615745428</v>
      </c>
      <c r="AH36" s="104">
        <f t="shared" si="28"/>
        <v>657083.44615745428</v>
      </c>
      <c r="AI36" s="104">
        <f t="shared" si="28"/>
        <v>657083.44615745428</v>
      </c>
      <c r="AJ36" s="104">
        <f t="shared" si="28"/>
        <v>657083.44615745428</v>
      </c>
      <c r="AK36" s="104">
        <f t="shared" si="28"/>
        <v>657083.44615745428</v>
      </c>
      <c r="AL36" s="104">
        <f t="shared" si="28"/>
        <v>657083.44615745428</v>
      </c>
      <c r="AM36" s="104">
        <f t="shared" si="28"/>
        <v>657083.44615745428</v>
      </c>
      <c r="AN36" s="104">
        <f t="shared" si="28"/>
        <v>657083.44615745428</v>
      </c>
      <c r="AO36" s="104">
        <f t="shared" si="28"/>
        <v>657083.44615745428</v>
      </c>
      <c r="AP36" s="104">
        <f t="shared" ref="AP36:BA36" si="29">$I26/12</f>
        <v>708244.49351534655</v>
      </c>
      <c r="AQ36" s="104">
        <f t="shared" si="29"/>
        <v>708244.49351534655</v>
      </c>
      <c r="AR36" s="104">
        <f t="shared" si="29"/>
        <v>708244.49351534655</v>
      </c>
      <c r="AS36" s="104">
        <f t="shared" si="29"/>
        <v>708244.49351534655</v>
      </c>
      <c r="AT36" s="104">
        <f t="shared" si="29"/>
        <v>708244.49351534655</v>
      </c>
      <c r="AU36" s="104">
        <f t="shared" si="29"/>
        <v>708244.49351534655</v>
      </c>
      <c r="AV36" s="104">
        <f t="shared" si="29"/>
        <v>708244.49351534655</v>
      </c>
      <c r="AW36" s="104">
        <f t="shared" si="29"/>
        <v>708244.49351534655</v>
      </c>
      <c r="AX36" s="104">
        <f t="shared" si="29"/>
        <v>708244.49351534655</v>
      </c>
      <c r="AY36" s="104">
        <f t="shared" si="29"/>
        <v>708244.49351534655</v>
      </c>
      <c r="AZ36" s="104">
        <f t="shared" si="29"/>
        <v>708244.49351534655</v>
      </c>
      <c r="BA36" s="104">
        <f t="shared" si="29"/>
        <v>708244.49351534655</v>
      </c>
      <c r="BB36" s="104">
        <f t="shared" ref="BB36:BM36" si="30">$J26/12</f>
        <v>763388.61643695168</v>
      </c>
      <c r="BC36" s="104">
        <f t="shared" si="30"/>
        <v>763388.61643695168</v>
      </c>
      <c r="BD36" s="104">
        <f t="shared" si="30"/>
        <v>763388.61643695168</v>
      </c>
      <c r="BE36" s="104">
        <f t="shared" si="30"/>
        <v>763388.61643695168</v>
      </c>
      <c r="BF36" s="104">
        <f t="shared" si="30"/>
        <v>763388.61643695168</v>
      </c>
      <c r="BG36" s="104">
        <f t="shared" si="30"/>
        <v>763388.61643695168</v>
      </c>
      <c r="BH36" s="104">
        <f t="shared" si="30"/>
        <v>763388.61643695168</v>
      </c>
      <c r="BI36" s="104">
        <f t="shared" si="30"/>
        <v>763388.61643695168</v>
      </c>
      <c r="BJ36" s="104">
        <f t="shared" si="30"/>
        <v>763388.61643695168</v>
      </c>
      <c r="BK36" s="104">
        <f t="shared" si="30"/>
        <v>763388.61643695168</v>
      </c>
      <c r="BL36" s="104">
        <f t="shared" si="30"/>
        <v>763388.61643695168</v>
      </c>
      <c r="BM36" s="104">
        <f t="shared" si="30"/>
        <v>763388.61643695168</v>
      </c>
      <c r="BN36" s="104">
        <f t="shared" ref="BN36:BY36" si="31">$K26/12</f>
        <v>822826.45938452287</v>
      </c>
      <c r="BO36" s="104">
        <f t="shared" si="31"/>
        <v>822826.45938452287</v>
      </c>
      <c r="BP36" s="104">
        <f t="shared" si="31"/>
        <v>822826.45938452287</v>
      </c>
      <c r="BQ36" s="104">
        <f t="shared" si="31"/>
        <v>822826.45938452287</v>
      </c>
      <c r="BR36" s="104">
        <f t="shared" si="31"/>
        <v>822826.45938452287</v>
      </c>
      <c r="BS36" s="104">
        <f t="shared" si="31"/>
        <v>822826.45938452287</v>
      </c>
      <c r="BT36" s="104">
        <f t="shared" si="31"/>
        <v>822826.45938452287</v>
      </c>
      <c r="BU36" s="104">
        <f t="shared" si="31"/>
        <v>822826.45938452287</v>
      </c>
      <c r="BV36" s="104">
        <f t="shared" si="31"/>
        <v>822826.45938452287</v>
      </c>
      <c r="BW36" s="104">
        <f t="shared" si="31"/>
        <v>822826.45938452287</v>
      </c>
      <c r="BX36" s="104">
        <f t="shared" si="31"/>
        <v>822826.45938452287</v>
      </c>
      <c r="BY36" s="104">
        <f t="shared" si="31"/>
        <v>822826.45938452287</v>
      </c>
      <c r="BZ36" s="104">
        <f t="shared" ref="BZ36:CK36" si="32">$L26/12</f>
        <v>886892.25028232799</v>
      </c>
      <c r="CA36" s="104">
        <f t="shared" si="32"/>
        <v>886892.25028232799</v>
      </c>
      <c r="CB36" s="104">
        <f t="shared" si="32"/>
        <v>886892.25028232799</v>
      </c>
      <c r="CC36" s="104">
        <f t="shared" si="32"/>
        <v>886892.25028232799</v>
      </c>
      <c r="CD36" s="104">
        <f t="shared" si="32"/>
        <v>886892.25028232799</v>
      </c>
      <c r="CE36" s="104">
        <f t="shared" si="32"/>
        <v>886892.25028232799</v>
      </c>
      <c r="CF36" s="104">
        <f t="shared" si="32"/>
        <v>886892.25028232799</v>
      </c>
      <c r="CG36" s="104">
        <f t="shared" si="32"/>
        <v>886892.25028232799</v>
      </c>
      <c r="CH36" s="104">
        <f t="shared" si="32"/>
        <v>886892.25028232799</v>
      </c>
      <c r="CI36" s="104">
        <f t="shared" si="32"/>
        <v>886892.25028232799</v>
      </c>
      <c r="CJ36" s="104">
        <f t="shared" si="32"/>
        <v>886892.25028232799</v>
      </c>
      <c r="CK36" s="104">
        <f t="shared" si="32"/>
        <v>886892.25028232799</v>
      </c>
      <c r="CL36" s="104">
        <f t="shared" ref="CL36:CW36" si="33">$M26/12</f>
        <v>955946.21735071496</v>
      </c>
      <c r="CM36" s="104">
        <f t="shared" si="33"/>
        <v>955946.21735071496</v>
      </c>
      <c r="CN36" s="104">
        <f t="shared" si="33"/>
        <v>955946.21735071496</v>
      </c>
      <c r="CO36" s="104">
        <f t="shared" si="33"/>
        <v>955946.21735071496</v>
      </c>
      <c r="CP36" s="104">
        <f t="shared" si="33"/>
        <v>955946.21735071496</v>
      </c>
      <c r="CQ36" s="104">
        <f t="shared" si="33"/>
        <v>955946.21735071496</v>
      </c>
      <c r="CR36" s="104">
        <f t="shared" si="33"/>
        <v>955946.21735071496</v>
      </c>
      <c r="CS36" s="104">
        <f t="shared" si="33"/>
        <v>955946.21735071496</v>
      </c>
      <c r="CT36" s="104">
        <f t="shared" si="33"/>
        <v>955946.21735071496</v>
      </c>
      <c r="CU36" s="104">
        <f t="shared" si="33"/>
        <v>955946.21735071496</v>
      </c>
      <c r="CV36" s="104">
        <f t="shared" si="33"/>
        <v>955946.21735071496</v>
      </c>
      <c r="CW36" s="104">
        <f t="shared" si="33"/>
        <v>955946.21735071496</v>
      </c>
      <c r="CX36" s="104">
        <f t="shared" ref="CX36:DI36" si="34">$N26/12</f>
        <v>1030376.6097977088</v>
      </c>
      <c r="CY36" s="104">
        <f t="shared" si="34"/>
        <v>1030376.6097977088</v>
      </c>
      <c r="CZ36" s="104">
        <f t="shared" si="34"/>
        <v>1030376.6097977088</v>
      </c>
      <c r="DA36" s="104">
        <f t="shared" si="34"/>
        <v>1030376.6097977088</v>
      </c>
      <c r="DB36" s="104">
        <f t="shared" si="34"/>
        <v>1030376.6097977088</v>
      </c>
      <c r="DC36" s="104">
        <f t="shared" si="34"/>
        <v>1030376.6097977088</v>
      </c>
      <c r="DD36" s="104">
        <f t="shared" si="34"/>
        <v>1030376.6097977088</v>
      </c>
      <c r="DE36" s="104">
        <f t="shared" si="34"/>
        <v>1030376.6097977088</v>
      </c>
      <c r="DF36" s="104">
        <f t="shared" si="34"/>
        <v>1030376.6097977088</v>
      </c>
      <c r="DG36" s="104">
        <f t="shared" si="34"/>
        <v>1030376.6097977088</v>
      </c>
      <c r="DH36" s="104">
        <f t="shared" si="34"/>
        <v>1030376.6097977088</v>
      </c>
      <c r="DI36" s="104">
        <f t="shared" si="34"/>
        <v>1030376.6097977088</v>
      </c>
      <c r="DJ36" s="104">
        <f t="shared" ref="DJ36:DU36" si="35">$O26/12</f>
        <v>1110602.3080208933</v>
      </c>
      <c r="DK36" s="104">
        <f t="shared" si="35"/>
        <v>1110602.3080208933</v>
      </c>
      <c r="DL36" s="104">
        <f t="shared" si="35"/>
        <v>1110602.3080208933</v>
      </c>
      <c r="DM36" s="104">
        <f t="shared" si="35"/>
        <v>1110602.3080208933</v>
      </c>
      <c r="DN36" s="104">
        <f t="shared" si="35"/>
        <v>1110602.3080208933</v>
      </c>
      <c r="DO36" s="104">
        <f t="shared" si="35"/>
        <v>1110602.3080208933</v>
      </c>
      <c r="DP36" s="104">
        <f t="shared" si="35"/>
        <v>1110602.3080208933</v>
      </c>
      <c r="DQ36" s="104">
        <f t="shared" si="35"/>
        <v>1110602.3080208933</v>
      </c>
      <c r="DR36" s="104">
        <f t="shared" si="35"/>
        <v>1110602.3080208933</v>
      </c>
      <c r="DS36" s="104">
        <f t="shared" si="35"/>
        <v>1110602.3080208933</v>
      </c>
      <c r="DT36" s="104">
        <f t="shared" si="35"/>
        <v>1110602.3080208933</v>
      </c>
      <c r="DU36" s="104">
        <f t="shared" si="35"/>
        <v>1110602.3080208933</v>
      </c>
      <c r="DV36" s="104">
        <f t="shared" ref="DV36:EG36" si="36">$P26/12</f>
        <v>1197074.394652039</v>
      </c>
      <c r="DW36" s="104">
        <f t="shared" si="36"/>
        <v>1197074.394652039</v>
      </c>
      <c r="DX36" s="104">
        <f t="shared" si="36"/>
        <v>1197074.394652039</v>
      </c>
      <c r="DY36" s="104">
        <f t="shared" si="36"/>
        <v>1197074.394652039</v>
      </c>
      <c r="DZ36" s="104">
        <f t="shared" si="36"/>
        <v>1197074.394652039</v>
      </c>
      <c r="EA36" s="104">
        <f t="shared" si="36"/>
        <v>1197074.394652039</v>
      </c>
      <c r="EB36" s="104">
        <f t="shared" si="36"/>
        <v>1197074.394652039</v>
      </c>
      <c r="EC36" s="104">
        <f t="shared" si="36"/>
        <v>1197074.394652039</v>
      </c>
      <c r="ED36" s="104">
        <f t="shared" si="36"/>
        <v>1197074.394652039</v>
      </c>
      <c r="EE36" s="104">
        <f t="shared" si="36"/>
        <v>1197074.394652039</v>
      </c>
      <c r="EF36" s="104">
        <f t="shared" si="36"/>
        <v>1197074.394652039</v>
      </c>
      <c r="EG36" s="104">
        <f t="shared" si="36"/>
        <v>1197074.394652039</v>
      </c>
      <c r="EH36" s="104">
        <f t="shared" ref="EH36:ES36" si="37">$Q26/12</f>
        <v>1290279.0384786583</v>
      </c>
      <c r="EI36" s="104">
        <f t="shared" si="37"/>
        <v>1290279.0384786583</v>
      </c>
      <c r="EJ36" s="104">
        <f t="shared" si="37"/>
        <v>1290279.0384786583</v>
      </c>
      <c r="EK36" s="104">
        <f t="shared" si="37"/>
        <v>1290279.0384786583</v>
      </c>
      <c r="EL36" s="104">
        <f t="shared" si="37"/>
        <v>1290279.0384786583</v>
      </c>
      <c r="EM36" s="104">
        <f t="shared" si="37"/>
        <v>1290279.0384786583</v>
      </c>
      <c r="EN36" s="104">
        <f t="shared" si="37"/>
        <v>1290279.0384786583</v>
      </c>
      <c r="EO36" s="104">
        <f t="shared" si="37"/>
        <v>1290279.0384786583</v>
      </c>
      <c r="EP36" s="104">
        <f t="shared" si="37"/>
        <v>1290279.0384786583</v>
      </c>
      <c r="EQ36" s="104">
        <f t="shared" si="37"/>
        <v>1290279.0384786583</v>
      </c>
      <c r="ER36" s="104">
        <f t="shared" si="37"/>
        <v>1290279.0384786583</v>
      </c>
      <c r="ES36" s="104">
        <f t="shared" si="37"/>
        <v>1290279.0384786583</v>
      </c>
      <c r="ET36" s="104">
        <f t="shared" ref="ET36:FE36" si="38">$R26/12</f>
        <v>1390740.7495817624</v>
      </c>
      <c r="EU36" s="104">
        <f t="shared" si="38"/>
        <v>1390740.7495817624</v>
      </c>
      <c r="EV36" s="104">
        <f t="shared" si="38"/>
        <v>1390740.7495817624</v>
      </c>
      <c r="EW36" s="104">
        <f t="shared" si="38"/>
        <v>1390740.7495817624</v>
      </c>
      <c r="EX36" s="104">
        <f t="shared" si="38"/>
        <v>1390740.7495817624</v>
      </c>
      <c r="EY36" s="104">
        <f t="shared" si="38"/>
        <v>1390740.7495817624</v>
      </c>
      <c r="EZ36" s="104">
        <f t="shared" si="38"/>
        <v>1390740.7495817624</v>
      </c>
      <c r="FA36" s="104">
        <f t="shared" si="38"/>
        <v>1390740.7495817624</v>
      </c>
      <c r="FB36" s="104">
        <f t="shared" si="38"/>
        <v>1390740.7495817624</v>
      </c>
      <c r="FC36" s="104">
        <f t="shared" si="38"/>
        <v>1390740.7495817624</v>
      </c>
      <c r="FD36" s="104">
        <f t="shared" si="38"/>
        <v>1390740.7495817624</v>
      </c>
      <c r="FE36" s="104">
        <f t="shared" si="38"/>
        <v>1390740.7495817624</v>
      </c>
      <c r="FF36" s="104">
        <f t="shared" ref="FF36:FQ36" si="39">$S26/12</f>
        <v>1499024.934740206</v>
      </c>
      <c r="FG36" s="104">
        <f t="shared" si="39"/>
        <v>1499024.934740206</v>
      </c>
      <c r="FH36" s="104">
        <f t="shared" si="39"/>
        <v>1499024.934740206</v>
      </c>
      <c r="FI36" s="104">
        <f t="shared" si="39"/>
        <v>1499024.934740206</v>
      </c>
      <c r="FJ36" s="104">
        <f t="shared" si="39"/>
        <v>1499024.934740206</v>
      </c>
      <c r="FK36" s="104">
        <f t="shared" si="39"/>
        <v>1499024.934740206</v>
      </c>
      <c r="FL36" s="104">
        <f t="shared" si="39"/>
        <v>1499024.934740206</v>
      </c>
      <c r="FM36" s="104">
        <f t="shared" si="39"/>
        <v>1499024.934740206</v>
      </c>
      <c r="FN36" s="104">
        <f t="shared" si="39"/>
        <v>1499024.934740206</v>
      </c>
      <c r="FO36" s="104">
        <f t="shared" si="39"/>
        <v>1499024.934740206</v>
      </c>
      <c r="FP36" s="104">
        <f t="shared" si="39"/>
        <v>1499024.934740206</v>
      </c>
      <c r="FQ36" s="104">
        <f t="shared" si="39"/>
        <v>1499024.934740206</v>
      </c>
      <c r="FR36" s="104">
        <f t="shared" ref="FR36:GC36" si="40">$T26/12</f>
        <v>1615739.2748801375</v>
      </c>
      <c r="FS36" s="104">
        <f t="shared" si="40"/>
        <v>1615739.2748801375</v>
      </c>
      <c r="FT36" s="104">
        <f t="shared" si="40"/>
        <v>1615739.2748801375</v>
      </c>
      <c r="FU36" s="104">
        <f t="shared" si="40"/>
        <v>1615739.2748801375</v>
      </c>
      <c r="FV36" s="104">
        <f t="shared" si="40"/>
        <v>1615739.2748801375</v>
      </c>
      <c r="FW36" s="104">
        <f t="shared" si="40"/>
        <v>1615739.2748801375</v>
      </c>
      <c r="FX36" s="104">
        <f t="shared" si="40"/>
        <v>1615739.2748801375</v>
      </c>
      <c r="FY36" s="104">
        <f t="shared" si="40"/>
        <v>1615739.2748801375</v>
      </c>
      <c r="FZ36" s="104">
        <f t="shared" si="40"/>
        <v>1615739.2748801375</v>
      </c>
      <c r="GA36" s="104">
        <f t="shared" si="40"/>
        <v>1615739.2748801375</v>
      </c>
      <c r="GB36" s="104">
        <f t="shared" si="40"/>
        <v>1615739.2748801375</v>
      </c>
      <c r="GC36" s="104">
        <f t="shared" si="40"/>
        <v>1615739.2748801375</v>
      </c>
      <c r="GD36" s="104">
        <f t="shared" ref="GD36:GO36" si="41">$U26/12</f>
        <v>1741541.7090055353</v>
      </c>
      <c r="GE36" s="104">
        <f t="shared" si="41"/>
        <v>1741541.7090055353</v>
      </c>
      <c r="GF36" s="104">
        <f t="shared" si="41"/>
        <v>1741541.7090055353</v>
      </c>
      <c r="GG36" s="104">
        <f t="shared" si="41"/>
        <v>1741541.7090055353</v>
      </c>
      <c r="GH36" s="104">
        <f t="shared" si="41"/>
        <v>1741541.7090055353</v>
      </c>
      <c r="GI36" s="104">
        <f t="shared" si="41"/>
        <v>1741541.7090055353</v>
      </c>
      <c r="GJ36" s="104">
        <f t="shared" si="41"/>
        <v>1741541.7090055353</v>
      </c>
      <c r="GK36" s="104">
        <f t="shared" si="41"/>
        <v>1741541.7090055353</v>
      </c>
      <c r="GL36" s="104">
        <f t="shared" si="41"/>
        <v>1741541.7090055353</v>
      </c>
      <c r="GM36" s="104">
        <f t="shared" si="41"/>
        <v>1741541.7090055353</v>
      </c>
      <c r="GN36" s="104">
        <f t="shared" si="41"/>
        <v>1741541.7090055353</v>
      </c>
      <c r="GO36" s="104">
        <f t="shared" si="41"/>
        <v>1741541.7090055353</v>
      </c>
      <c r="GP36" s="104">
        <f t="shared" ref="GP36:HA36" si="42">$V26/12</f>
        <v>1877138.9542753117</v>
      </c>
      <c r="GQ36" s="104">
        <f t="shared" si="42"/>
        <v>1877138.9542753117</v>
      </c>
      <c r="GR36" s="104">
        <f t="shared" si="42"/>
        <v>1877138.9542753117</v>
      </c>
      <c r="GS36" s="104">
        <f t="shared" si="42"/>
        <v>1877138.9542753117</v>
      </c>
      <c r="GT36" s="104">
        <f t="shared" si="42"/>
        <v>1877138.9542753117</v>
      </c>
      <c r="GU36" s="104">
        <f t="shared" si="42"/>
        <v>1877138.9542753117</v>
      </c>
      <c r="GV36" s="104">
        <f t="shared" si="42"/>
        <v>1877138.9542753117</v>
      </c>
      <c r="GW36" s="104">
        <f t="shared" si="42"/>
        <v>1877138.9542753117</v>
      </c>
      <c r="GX36" s="104">
        <f t="shared" si="42"/>
        <v>1877138.9542753117</v>
      </c>
      <c r="GY36" s="104">
        <f t="shared" si="42"/>
        <v>1877138.9542753117</v>
      </c>
      <c r="GZ36" s="104">
        <f t="shared" si="42"/>
        <v>1877138.9542753117</v>
      </c>
      <c r="HA36" s="104">
        <f t="shared" si="42"/>
        <v>1877138.9542753117</v>
      </c>
      <c r="HB36" s="104">
        <f t="shared" ref="HB36:HM36" si="43">$W26/12</f>
        <v>2023294.0374993358</v>
      </c>
      <c r="HC36" s="104">
        <f t="shared" si="43"/>
        <v>2023294.0374993358</v>
      </c>
      <c r="HD36" s="104">
        <f t="shared" si="43"/>
        <v>2023294.0374993358</v>
      </c>
      <c r="HE36" s="104">
        <f t="shared" si="43"/>
        <v>2023294.0374993358</v>
      </c>
      <c r="HF36" s="104">
        <f t="shared" si="43"/>
        <v>2023294.0374993358</v>
      </c>
      <c r="HG36" s="104">
        <f t="shared" si="43"/>
        <v>2023294.0374993358</v>
      </c>
      <c r="HH36" s="104">
        <f t="shared" si="43"/>
        <v>2023294.0374993358</v>
      </c>
      <c r="HI36" s="104">
        <f t="shared" si="43"/>
        <v>2023294.0374993358</v>
      </c>
      <c r="HJ36" s="104">
        <f t="shared" si="43"/>
        <v>2023294.0374993358</v>
      </c>
      <c r="HK36" s="104">
        <f t="shared" si="43"/>
        <v>2023294.0374993358</v>
      </c>
      <c r="HL36" s="104">
        <f t="shared" si="43"/>
        <v>2023294.0374993358</v>
      </c>
      <c r="HM36" s="104">
        <f t="shared" si="43"/>
        <v>2023294.0374993358</v>
      </c>
      <c r="HN36" s="104">
        <f t="shared" ref="HN36:HY36" si="44">$X26/12</f>
        <v>2180828.6781998551</v>
      </c>
      <c r="HO36" s="104">
        <f t="shared" si="44"/>
        <v>2180828.6781998551</v>
      </c>
      <c r="HP36" s="104">
        <f t="shared" si="44"/>
        <v>2180828.6781998551</v>
      </c>
      <c r="HQ36" s="104">
        <f t="shared" si="44"/>
        <v>2180828.6781998551</v>
      </c>
      <c r="HR36" s="104">
        <f t="shared" si="44"/>
        <v>2180828.6781998551</v>
      </c>
      <c r="HS36" s="104">
        <f t="shared" si="44"/>
        <v>2180828.6781998551</v>
      </c>
      <c r="HT36" s="104">
        <f t="shared" si="44"/>
        <v>2180828.6781998551</v>
      </c>
      <c r="HU36" s="104">
        <f t="shared" si="44"/>
        <v>2180828.6781998551</v>
      </c>
      <c r="HV36" s="104">
        <f t="shared" si="44"/>
        <v>2180828.6781998551</v>
      </c>
      <c r="HW36" s="104">
        <f t="shared" si="44"/>
        <v>2180828.6781998551</v>
      </c>
      <c r="HX36" s="104">
        <f t="shared" si="44"/>
        <v>2180828.6781998551</v>
      </c>
      <c r="HY36" s="104">
        <f t="shared" si="44"/>
        <v>2180828.6781998551</v>
      </c>
      <c r="HZ36" s="104">
        <f t="shared" ref="HZ36:IK36" si="45">$Y26/12</f>
        <v>2350629.3446453051</v>
      </c>
      <c r="IA36" s="104">
        <f t="shared" si="45"/>
        <v>2350629.3446453051</v>
      </c>
      <c r="IB36" s="104">
        <f t="shared" si="45"/>
        <v>2350629.3446453051</v>
      </c>
      <c r="IC36" s="104">
        <f t="shared" si="45"/>
        <v>2350629.3446453051</v>
      </c>
      <c r="ID36" s="104">
        <f t="shared" si="45"/>
        <v>2350629.3446453051</v>
      </c>
      <c r="IE36" s="104">
        <f t="shared" si="45"/>
        <v>2350629.3446453051</v>
      </c>
      <c r="IF36" s="104">
        <f t="shared" si="45"/>
        <v>2350629.3446453051</v>
      </c>
      <c r="IG36" s="104">
        <f t="shared" si="45"/>
        <v>2350629.3446453051</v>
      </c>
      <c r="IH36" s="104">
        <f t="shared" si="45"/>
        <v>2350629.3446453051</v>
      </c>
      <c r="II36" s="104">
        <f t="shared" si="45"/>
        <v>2350629.3446453051</v>
      </c>
      <c r="IJ36" s="104">
        <f t="shared" si="45"/>
        <v>2350629.3446453051</v>
      </c>
      <c r="IK36" s="104">
        <f t="shared" si="45"/>
        <v>2350629.3446453051</v>
      </c>
      <c r="IL36" s="104">
        <f t="shared" ref="IL36:IW36" si="46">$Z26/12</f>
        <v>2533650.7037724671</v>
      </c>
      <c r="IM36" s="104">
        <f t="shared" si="46"/>
        <v>2533650.7037724671</v>
      </c>
      <c r="IN36" s="104">
        <f t="shared" si="46"/>
        <v>2533650.7037724671</v>
      </c>
      <c r="IO36" s="104">
        <f t="shared" si="46"/>
        <v>2533650.7037724671</v>
      </c>
      <c r="IP36" s="104">
        <f t="shared" si="46"/>
        <v>2533650.7037724671</v>
      </c>
      <c r="IQ36" s="104">
        <f t="shared" si="46"/>
        <v>2533650.7037724671</v>
      </c>
      <c r="IR36" s="104">
        <f t="shared" si="46"/>
        <v>2533650.7037724671</v>
      </c>
      <c r="IS36" s="104">
        <f t="shared" si="46"/>
        <v>2533650.7037724671</v>
      </c>
      <c r="IT36" s="104">
        <f t="shared" si="46"/>
        <v>2533650.7037724671</v>
      </c>
      <c r="IU36" s="104">
        <f t="shared" si="46"/>
        <v>2533650.7037724671</v>
      </c>
      <c r="IV36" s="104">
        <f t="shared" si="46"/>
        <v>2533650.7037724671</v>
      </c>
      <c r="IW36" s="104">
        <f t="shared" si="46"/>
        <v>2533650.7037724671</v>
      </c>
      <c r="IX36" s="104">
        <f t="shared" ref="IX36:JI36" si="47">$AA26/12</f>
        <v>2730921.6639992497</v>
      </c>
      <c r="IY36" s="104">
        <f t="shared" si="47"/>
        <v>2730921.6639992497</v>
      </c>
      <c r="IZ36" s="104">
        <f t="shared" si="47"/>
        <v>2730921.6639992497</v>
      </c>
      <c r="JA36" s="104">
        <f t="shared" si="47"/>
        <v>2730921.6639992497</v>
      </c>
      <c r="JB36" s="104">
        <f t="shared" si="47"/>
        <v>2730921.6639992497</v>
      </c>
      <c r="JC36" s="104">
        <f t="shared" si="47"/>
        <v>2730921.6639992497</v>
      </c>
      <c r="JD36" s="104">
        <f t="shared" si="47"/>
        <v>2730921.6639992497</v>
      </c>
      <c r="JE36" s="104">
        <f t="shared" si="47"/>
        <v>2730921.6639992497</v>
      </c>
      <c r="JF36" s="104">
        <f t="shared" si="47"/>
        <v>2730921.6639992497</v>
      </c>
      <c r="JG36" s="104">
        <f t="shared" si="47"/>
        <v>2730921.6639992497</v>
      </c>
      <c r="JH36" s="104">
        <f t="shared" si="47"/>
        <v>2730921.6639992497</v>
      </c>
      <c r="JI36" s="104">
        <f t="shared" si="47"/>
        <v>2730921.6639992497</v>
      </c>
      <c r="JJ36" s="104">
        <f t="shared" ref="JJ36:JU36" si="48">$AB26/12</f>
        <v>2943553.207168356</v>
      </c>
      <c r="JK36" s="104">
        <f t="shared" si="48"/>
        <v>2943553.207168356</v>
      </c>
      <c r="JL36" s="104">
        <f t="shared" si="48"/>
        <v>2943553.207168356</v>
      </c>
      <c r="JM36" s="104">
        <f t="shared" si="48"/>
        <v>2943553.207168356</v>
      </c>
      <c r="JN36" s="104">
        <f t="shared" si="48"/>
        <v>2943553.207168356</v>
      </c>
      <c r="JO36" s="104">
        <f t="shared" si="48"/>
        <v>2943553.207168356</v>
      </c>
      <c r="JP36" s="104">
        <f t="shared" si="48"/>
        <v>2943553.207168356</v>
      </c>
      <c r="JQ36" s="104">
        <f t="shared" si="48"/>
        <v>2943553.207168356</v>
      </c>
      <c r="JR36" s="104">
        <f t="shared" si="48"/>
        <v>2943553.207168356</v>
      </c>
      <c r="JS36" s="104">
        <f t="shared" si="48"/>
        <v>2943553.207168356</v>
      </c>
      <c r="JT36" s="104">
        <f t="shared" si="48"/>
        <v>2943553.207168356</v>
      </c>
      <c r="JU36" s="104">
        <f t="shared" si="48"/>
        <v>2943553.207168356</v>
      </c>
      <c r="JV36" s="104">
        <f t="shared" ref="JV36:KG36" si="49">$AC26/12</f>
        <v>3172739.7971502151</v>
      </c>
      <c r="JW36" s="104">
        <f t="shared" si="49"/>
        <v>3172739.7971502151</v>
      </c>
      <c r="JX36" s="104">
        <f t="shared" si="49"/>
        <v>3172739.7971502151</v>
      </c>
      <c r="JY36" s="104">
        <f t="shared" si="49"/>
        <v>3172739.7971502151</v>
      </c>
      <c r="JZ36" s="104">
        <f t="shared" si="49"/>
        <v>3172739.7971502151</v>
      </c>
      <c r="KA36" s="104">
        <f t="shared" si="49"/>
        <v>3172739.7971502151</v>
      </c>
      <c r="KB36" s="104">
        <f t="shared" si="49"/>
        <v>3172739.7971502151</v>
      </c>
      <c r="KC36" s="104">
        <f t="shared" si="49"/>
        <v>3172739.7971502151</v>
      </c>
      <c r="KD36" s="104">
        <f t="shared" si="49"/>
        <v>3172739.7971502151</v>
      </c>
      <c r="KE36" s="104">
        <f t="shared" si="49"/>
        <v>3172739.7971502151</v>
      </c>
      <c r="KF36" s="104">
        <f t="shared" si="49"/>
        <v>3172739.7971502151</v>
      </c>
      <c r="KG36" s="104">
        <f t="shared" si="49"/>
        <v>3172739.7971502151</v>
      </c>
      <c r="KH36" s="104">
        <f t="shared" ref="KH36:KS36" si="50">$AD26/12</f>
        <v>3419770.9308703332</v>
      </c>
      <c r="KI36" s="104">
        <f t="shared" si="50"/>
        <v>3419770.9308703332</v>
      </c>
      <c r="KJ36" s="104">
        <f t="shared" si="50"/>
        <v>3419770.9308703332</v>
      </c>
      <c r="KK36" s="104">
        <f t="shared" si="50"/>
        <v>3419770.9308703332</v>
      </c>
      <c r="KL36" s="104">
        <f t="shared" si="50"/>
        <v>3419770.9308703332</v>
      </c>
      <c r="KM36" s="104">
        <f t="shared" si="50"/>
        <v>3419770.9308703332</v>
      </c>
      <c r="KN36" s="104">
        <f t="shared" si="50"/>
        <v>3419770.9308703332</v>
      </c>
      <c r="KO36" s="104">
        <f t="shared" si="50"/>
        <v>3419770.9308703332</v>
      </c>
      <c r="KP36" s="104">
        <f t="shared" si="50"/>
        <v>3419770.9308703332</v>
      </c>
      <c r="KQ36" s="104">
        <f t="shared" si="50"/>
        <v>3419770.9308703332</v>
      </c>
      <c r="KR36" s="104">
        <f t="shared" si="50"/>
        <v>3419770.9308703332</v>
      </c>
      <c r="KS36" s="104">
        <f t="shared" si="50"/>
        <v>3419770.9308703332</v>
      </c>
    </row>
    <row r="37" spans="1:305">
      <c r="A37" s="97" t="s">
        <v>130</v>
      </c>
      <c r="B37" s="58" t="str">
        <f>$B$7</f>
        <v>Adubo Orgânico</v>
      </c>
      <c r="C37" s="58"/>
      <c r="D37" s="99">
        <f>$E$7</f>
        <v>26.188068000000001</v>
      </c>
      <c r="E37" s="60"/>
      <c r="F37" s="104">
        <f t="shared" ref="F37:Q37" si="51">$F27/12</f>
        <v>70226.796084400004</v>
      </c>
      <c r="G37" s="104">
        <f t="shared" si="51"/>
        <v>70226.796084400004</v>
      </c>
      <c r="H37" s="104">
        <f t="shared" si="51"/>
        <v>70226.796084400004</v>
      </c>
      <c r="I37" s="104">
        <f t="shared" si="51"/>
        <v>70226.796084400004</v>
      </c>
      <c r="J37" s="104">
        <f t="shared" si="51"/>
        <v>70226.796084400004</v>
      </c>
      <c r="K37" s="104">
        <f t="shared" si="51"/>
        <v>70226.796084400004</v>
      </c>
      <c r="L37" s="104">
        <f t="shared" si="51"/>
        <v>70226.796084400004</v>
      </c>
      <c r="M37" s="104">
        <f t="shared" si="51"/>
        <v>70226.796084400004</v>
      </c>
      <c r="N37" s="104">
        <f t="shared" si="51"/>
        <v>70226.796084400004</v>
      </c>
      <c r="O37" s="104">
        <f t="shared" si="51"/>
        <v>70226.796084400004</v>
      </c>
      <c r="P37" s="104">
        <f t="shared" si="51"/>
        <v>70226.796084400004</v>
      </c>
      <c r="Q37" s="104">
        <f t="shared" si="51"/>
        <v>70226.796084400004</v>
      </c>
      <c r="R37" s="104">
        <f t="shared" ref="R37:AC37" si="52">$G27/12</f>
        <v>75694.679838686701</v>
      </c>
      <c r="S37" s="104">
        <f t="shared" si="52"/>
        <v>75694.679838686701</v>
      </c>
      <c r="T37" s="104">
        <f t="shared" si="52"/>
        <v>75694.679838686701</v>
      </c>
      <c r="U37" s="104">
        <f t="shared" si="52"/>
        <v>75694.679838686701</v>
      </c>
      <c r="V37" s="104">
        <f t="shared" si="52"/>
        <v>75694.679838686701</v>
      </c>
      <c r="W37" s="104">
        <f t="shared" si="52"/>
        <v>75694.679838686701</v>
      </c>
      <c r="X37" s="104">
        <f t="shared" si="52"/>
        <v>75694.679838686701</v>
      </c>
      <c r="Y37" s="104">
        <f t="shared" si="52"/>
        <v>75694.679838686701</v>
      </c>
      <c r="Z37" s="104">
        <f t="shared" si="52"/>
        <v>75694.679838686701</v>
      </c>
      <c r="AA37" s="104">
        <f t="shared" si="52"/>
        <v>75694.679838686701</v>
      </c>
      <c r="AB37" s="104">
        <f t="shared" si="52"/>
        <v>75694.679838686701</v>
      </c>
      <c r="AC37" s="104">
        <f t="shared" si="52"/>
        <v>75694.679838686701</v>
      </c>
      <c r="AD37" s="104">
        <f t="shared" ref="AD37:AO37" si="53">$H27/12</f>
        <v>81588.316889090333</v>
      </c>
      <c r="AE37" s="104">
        <f t="shared" si="53"/>
        <v>81588.316889090333</v>
      </c>
      <c r="AF37" s="104">
        <f t="shared" si="53"/>
        <v>81588.316889090333</v>
      </c>
      <c r="AG37" s="104">
        <f t="shared" si="53"/>
        <v>81588.316889090333</v>
      </c>
      <c r="AH37" s="104">
        <f t="shared" si="53"/>
        <v>81588.316889090333</v>
      </c>
      <c r="AI37" s="104">
        <f t="shared" si="53"/>
        <v>81588.316889090333</v>
      </c>
      <c r="AJ37" s="104">
        <f t="shared" si="53"/>
        <v>81588.316889090333</v>
      </c>
      <c r="AK37" s="104">
        <f t="shared" si="53"/>
        <v>81588.316889090333</v>
      </c>
      <c r="AL37" s="104">
        <f t="shared" si="53"/>
        <v>81588.316889090333</v>
      </c>
      <c r="AM37" s="104">
        <f t="shared" si="53"/>
        <v>81588.316889090333</v>
      </c>
      <c r="AN37" s="104">
        <f t="shared" si="53"/>
        <v>81588.316889090333</v>
      </c>
      <c r="AO37" s="104">
        <f t="shared" si="53"/>
        <v>81588.316889090333</v>
      </c>
      <c r="AP37" s="104">
        <f t="shared" ref="AP37:BA37" si="54">$I27/12</f>
        <v>87940.81376576169</v>
      </c>
      <c r="AQ37" s="104">
        <f t="shared" si="54"/>
        <v>87940.81376576169</v>
      </c>
      <c r="AR37" s="104">
        <f t="shared" si="54"/>
        <v>87940.81376576169</v>
      </c>
      <c r="AS37" s="104">
        <f t="shared" si="54"/>
        <v>87940.81376576169</v>
      </c>
      <c r="AT37" s="104">
        <f t="shared" si="54"/>
        <v>87940.81376576169</v>
      </c>
      <c r="AU37" s="104">
        <f t="shared" si="54"/>
        <v>87940.81376576169</v>
      </c>
      <c r="AV37" s="104">
        <f t="shared" si="54"/>
        <v>87940.81376576169</v>
      </c>
      <c r="AW37" s="104">
        <f t="shared" si="54"/>
        <v>87940.81376576169</v>
      </c>
      <c r="AX37" s="104">
        <f t="shared" si="54"/>
        <v>87940.81376576169</v>
      </c>
      <c r="AY37" s="104">
        <f t="shared" si="54"/>
        <v>87940.81376576169</v>
      </c>
      <c r="AZ37" s="104">
        <f t="shared" si="54"/>
        <v>87940.81376576169</v>
      </c>
      <c r="BA37" s="104">
        <f t="shared" si="54"/>
        <v>87940.81376576169</v>
      </c>
      <c r="BB37" s="104">
        <f t="shared" ref="BB37:BM37" si="55">$J27/12</f>
        <v>94787.931052291067</v>
      </c>
      <c r="BC37" s="104">
        <f t="shared" si="55"/>
        <v>94787.931052291067</v>
      </c>
      <c r="BD37" s="104">
        <f t="shared" si="55"/>
        <v>94787.931052291067</v>
      </c>
      <c r="BE37" s="104">
        <f t="shared" si="55"/>
        <v>94787.931052291067</v>
      </c>
      <c r="BF37" s="104">
        <f t="shared" si="55"/>
        <v>94787.931052291067</v>
      </c>
      <c r="BG37" s="104">
        <f t="shared" si="55"/>
        <v>94787.931052291067</v>
      </c>
      <c r="BH37" s="104">
        <f t="shared" si="55"/>
        <v>94787.931052291067</v>
      </c>
      <c r="BI37" s="104">
        <f t="shared" si="55"/>
        <v>94787.931052291067</v>
      </c>
      <c r="BJ37" s="104">
        <f t="shared" si="55"/>
        <v>94787.931052291067</v>
      </c>
      <c r="BK37" s="104">
        <f t="shared" si="55"/>
        <v>94787.931052291067</v>
      </c>
      <c r="BL37" s="104">
        <f t="shared" si="55"/>
        <v>94787.931052291067</v>
      </c>
      <c r="BM37" s="104">
        <f t="shared" si="55"/>
        <v>94787.931052291067</v>
      </c>
      <c r="BN37" s="104">
        <f t="shared" ref="BN37:BY37" si="56">$K27/12</f>
        <v>102168.15921579779</v>
      </c>
      <c r="BO37" s="104">
        <f t="shared" si="56"/>
        <v>102168.15921579779</v>
      </c>
      <c r="BP37" s="104">
        <f t="shared" si="56"/>
        <v>102168.15921579779</v>
      </c>
      <c r="BQ37" s="104">
        <f t="shared" si="56"/>
        <v>102168.15921579779</v>
      </c>
      <c r="BR37" s="104">
        <f t="shared" si="56"/>
        <v>102168.15921579779</v>
      </c>
      <c r="BS37" s="104">
        <f t="shared" si="56"/>
        <v>102168.15921579779</v>
      </c>
      <c r="BT37" s="104">
        <f t="shared" si="56"/>
        <v>102168.15921579779</v>
      </c>
      <c r="BU37" s="104">
        <f t="shared" si="56"/>
        <v>102168.15921579779</v>
      </c>
      <c r="BV37" s="104">
        <f t="shared" si="56"/>
        <v>102168.15921579779</v>
      </c>
      <c r="BW37" s="104">
        <f t="shared" si="56"/>
        <v>102168.15921579779</v>
      </c>
      <c r="BX37" s="104">
        <f t="shared" si="56"/>
        <v>102168.15921579779</v>
      </c>
      <c r="BY37" s="104">
        <f t="shared" si="56"/>
        <v>102168.15921579779</v>
      </c>
      <c r="BZ37" s="104">
        <f t="shared" ref="BZ37:CK37" si="57">$L27/12</f>
        <v>110123.04603767768</v>
      </c>
      <c r="CA37" s="104">
        <f t="shared" si="57"/>
        <v>110123.04603767768</v>
      </c>
      <c r="CB37" s="104">
        <f t="shared" si="57"/>
        <v>110123.04603767768</v>
      </c>
      <c r="CC37" s="104">
        <f t="shared" si="57"/>
        <v>110123.04603767768</v>
      </c>
      <c r="CD37" s="104">
        <f t="shared" si="57"/>
        <v>110123.04603767768</v>
      </c>
      <c r="CE37" s="104">
        <f t="shared" si="57"/>
        <v>110123.04603767768</v>
      </c>
      <c r="CF37" s="104">
        <f t="shared" si="57"/>
        <v>110123.04603767768</v>
      </c>
      <c r="CG37" s="104">
        <f t="shared" si="57"/>
        <v>110123.04603767768</v>
      </c>
      <c r="CH37" s="104">
        <f t="shared" si="57"/>
        <v>110123.04603767768</v>
      </c>
      <c r="CI37" s="104">
        <f t="shared" si="57"/>
        <v>110123.04603767768</v>
      </c>
      <c r="CJ37" s="104">
        <f t="shared" si="57"/>
        <v>110123.04603767768</v>
      </c>
      <c r="CK37" s="104">
        <f t="shared" si="57"/>
        <v>110123.04603767768</v>
      </c>
      <c r="CL37" s="104">
        <f t="shared" ref="CL37:CW37" si="58">$M27/12</f>
        <v>118697.27713327867</v>
      </c>
      <c r="CM37" s="104">
        <f t="shared" si="58"/>
        <v>118697.27713327867</v>
      </c>
      <c r="CN37" s="104">
        <f t="shared" si="58"/>
        <v>118697.27713327867</v>
      </c>
      <c r="CO37" s="104">
        <f t="shared" si="58"/>
        <v>118697.27713327867</v>
      </c>
      <c r="CP37" s="104">
        <f t="shared" si="58"/>
        <v>118697.27713327867</v>
      </c>
      <c r="CQ37" s="104">
        <f t="shared" si="58"/>
        <v>118697.27713327867</v>
      </c>
      <c r="CR37" s="104">
        <f t="shared" si="58"/>
        <v>118697.27713327867</v>
      </c>
      <c r="CS37" s="104">
        <f t="shared" si="58"/>
        <v>118697.27713327867</v>
      </c>
      <c r="CT37" s="104">
        <f t="shared" si="58"/>
        <v>118697.27713327867</v>
      </c>
      <c r="CU37" s="104">
        <f t="shared" si="58"/>
        <v>118697.27713327867</v>
      </c>
      <c r="CV37" s="104">
        <f t="shared" si="58"/>
        <v>118697.27713327867</v>
      </c>
      <c r="CW37" s="104">
        <f t="shared" si="58"/>
        <v>118697.27713327867</v>
      </c>
      <c r="CX37" s="104">
        <f t="shared" ref="CX37:DI37" si="59">$N27/12</f>
        <v>127939.11678514445</v>
      </c>
      <c r="CY37" s="104">
        <f t="shared" si="59"/>
        <v>127939.11678514445</v>
      </c>
      <c r="CZ37" s="104">
        <f t="shared" si="59"/>
        <v>127939.11678514445</v>
      </c>
      <c r="DA37" s="104">
        <f t="shared" si="59"/>
        <v>127939.11678514445</v>
      </c>
      <c r="DB37" s="104">
        <f t="shared" si="59"/>
        <v>127939.11678514445</v>
      </c>
      <c r="DC37" s="104">
        <f t="shared" si="59"/>
        <v>127939.11678514445</v>
      </c>
      <c r="DD37" s="104">
        <f t="shared" si="59"/>
        <v>127939.11678514445</v>
      </c>
      <c r="DE37" s="104">
        <f t="shared" si="59"/>
        <v>127939.11678514445</v>
      </c>
      <c r="DF37" s="104">
        <f t="shared" si="59"/>
        <v>127939.11678514445</v>
      </c>
      <c r="DG37" s="104">
        <f t="shared" si="59"/>
        <v>127939.11678514445</v>
      </c>
      <c r="DH37" s="104">
        <f t="shared" si="59"/>
        <v>127939.11678514445</v>
      </c>
      <c r="DI37" s="104">
        <f t="shared" si="59"/>
        <v>127939.11678514445</v>
      </c>
      <c r="DJ37" s="104">
        <f t="shared" ref="DJ37:DU37" si="60">$O27/12</f>
        <v>137900.5155657412</v>
      </c>
      <c r="DK37" s="104">
        <f t="shared" si="60"/>
        <v>137900.5155657412</v>
      </c>
      <c r="DL37" s="104">
        <f t="shared" si="60"/>
        <v>137900.5155657412</v>
      </c>
      <c r="DM37" s="104">
        <f t="shared" si="60"/>
        <v>137900.5155657412</v>
      </c>
      <c r="DN37" s="104">
        <f t="shared" si="60"/>
        <v>137900.5155657412</v>
      </c>
      <c r="DO37" s="104">
        <f t="shared" si="60"/>
        <v>137900.5155657412</v>
      </c>
      <c r="DP37" s="104">
        <f t="shared" si="60"/>
        <v>137900.5155657412</v>
      </c>
      <c r="DQ37" s="104">
        <f t="shared" si="60"/>
        <v>137900.5155657412</v>
      </c>
      <c r="DR37" s="104">
        <f t="shared" si="60"/>
        <v>137900.5155657412</v>
      </c>
      <c r="DS37" s="104">
        <f t="shared" si="60"/>
        <v>137900.5155657412</v>
      </c>
      <c r="DT37" s="104">
        <f t="shared" si="60"/>
        <v>137900.5155657412</v>
      </c>
      <c r="DU37" s="104">
        <f t="shared" si="60"/>
        <v>137900.5155657412</v>
      </c>
      <c r="DV37" s="104">
        <f t="shared" ref="DV37:EG37" si="61">$P27/12</f>
        <v>148637.50481935599</v>
      </c>
      <c r="DW37" s="104">
        <f t="shared" si="61"/>
        <v>148637.50481935599</v>
      </c>
      <c r="DX37" s="104">
        <f t="shared" si="61"/>
        <v>148637.50481935599</v>
      </c>
      <c r="DY37" s="104">
        <f t="shared" si="61"/>
        <v>148637.50481935599</v>
      </c>
      <c r="DZ37" s="104">
        <f t="shared" si="61"/>
        <v>148637.50481935599</v>
      </c>
      <c r="EA37" s="104">
        <f t="shared" si="61"/>
        <v>148637.50481935599</v>
      </c>
      <c r="EB37" s="104">
        <f t="shared" si="61"/>
        <v>148637.50481935599</v>
      </c>
      <c r="EC37" s="104">
        <f t="shared" si="61"/>
        <v>148637.50481935599</v>
      </c>
      <c r="ED37" s="104">
        <f t="shared" si="61"/>
        <v>148637.50481935599</v>
      </c>
      <c r="EE37" s="104">
        <f t="shared" si="61"/>
        <v>148637.50481935599</v>
      </c>
      <c r="EF37" s="104">
        <f t="shared" si="61"/>
        <v>148637.50481935599</v>
      </c>
      <c r="EG37" s="104">
        <f t="shared" si="61"/>
        <v>148637.50481935599</v>
      </c>
      <c r="EH37" s="104">
        <f t="shared" ref="EH37:ES37" si="62">$Q27/12</f>
        <v>160210.52482866644</v>
      </c>
      <c r="EI37" s="104">
        <f t="shared" si="62"/>
        <v>160210.52482866644</v>
      </c>
      <c r="EJ37" s="104">
        <f t="shared" si="62"/>
        <v>160210.52482866644</v>
      </c>
      <c r="EK37" s="104">
        <f t="shared" si="62"/>
        <v>160210.52482866644</v>
      </c>
      <c r="EL37" s="104">
        <f t="shared" si="62"/>
        <v>160210.52482866644</v>
      </c>
      <c r="EM37" s="104">
        <f t="shared" si="62"/>
        <v>160210.52482866644</v>
      </c>
      <c r="EN37" s="104">
        <f t="shared" si="62"/>
        <v>160210.52482866644</v>
      </c>
      <c r="EO37" s="104">
        <f t="shared" si="62"/>
        <v>160210.52482866644</v>
      </c>
      <c r="EP37" s="104">
        <f t="shared" si="62"/>
        <v>160210.52482866644</v>
      </c>
      <c r="EQ37" s="104">
        <f t="shared" si="62"/>
        <v>160210.52482866644</v>
      </c>
      <c r="ER37" s="104">
        <f t="shared" si="62"/>
        <v>160210.52482866644</v>
      </c>
      <c r="ES37" s="104">
        <f t="shared" si="62"/>
        <v>160210.52482866644</v>
      </c>
      <c r="ET37" s="104">
        <f t="shared" ref="ET37:FE37" si="63">$R27/12</f>
        <v>172684.58547989678</v>
      </c>
      <c r="EU37" s="104">
        <f t="shared" si="63"/>
        <v>172684.58547989678</v>
      </c>
      <c r="EV37" s="104">
        <f t="shared" si="63"/>
        <v>172684.58547989678</v>
      </c>
      <c r="EW37" s="104">
        <f t="shared" si="63"/>
        <v>172684.58547989678</v>
      </c>
      <c r="EX37" s="104">
        <f t="shared" si="63"/>
        <v>172684.58547989678</v>
      </c>
      <c r="EY37" s="104">
        <f t="shared" si="63"/>
        <v>172684.58547989678</v>
      </c>
      <c r="EZ37" s="104">
        <f t="shared" si="63"/>
        <v>172684.58547989678</v>
      </c>
      <c r="FA37" s="104">
        <f t="shared" si="63"/>
        <v>172684.58547989678</v>
      </c>
      <c r="FB37" s="104">
        <f t="shared" si="63"/>
        <v>172684.58547989678</v>
      </c>
      <c r="FC37" s="104">
        <f t="shared" si="63"/>
        <v>172684.58547989678</v>
      </c>
      <c r="FD37" s="104">
        <f t="shared" si="63"/>
        <v>172684.58547989678</v>
      </c>
      <c r="FE37" s="104">
        <f t="shared" si="63"/>
        <v>172684.58547989678</v>
      </c>
      <c r="FF37" s="104">
        <f t="shared" ref="FF37:FQ37" si="64">$S27/12</f>
        <v>186129.89656490026</v>
      </c>
      <c r="FG37" s="104">
        <f t="shared" si="64"/>
        <v>186129.89656490026</v>
      </c>
      <c r="FH37" s="104">
        <f t="shared" si="64"/>
        <v>186129.89656490026</v>
      </c>
      <c r="FI37" s="104">
        <f t="shared" si="64"/>
        <v>186129.89656490026</v>
      </c>
      <c r="FJ37" s="104">
        <f t="shared" si="64"/>
        <v>186129.89656490026</v>
      </c>
      <c r="FK37" s="104">
        <f t="shared" si="64"/>
        <v>186129.89656490026</v>
      </c>
      <c r="FL37" s="104">
        <f t="shared" si="64"/>
        <v>186129.89656490026</v>
      </c>
      <c r="FM37" s="104">
        <f t="shared" si="64"/>
        <v>186129.89656490026</v>
      </c>
      <c r="FN37" s="104">
        <f t="shared" si="64"/>
        <v>186129.89656490026</v>
      </c>
      <c r="FO37" s="104">
        <f t="shared" si="64"/>
        <v>186129.89656490026</v>
      </c>
      <c r="FP37" s="104">
        <f t="shared" si="64"/>
        <v>186129.89656490026</v>
      </c>
      <c r="FQ37" s="104">
        <f t="shared" si="64"/>
        <v>186129.89656490026</v>
      </c>
      <c r="FR37" s="104">
        <f t="shared" ref="FR37:GC37" si="65">$T27/12</f>
        <v>200622.08927323099</v>
      </c>
      <c r="FS37" s="104">
        <f t="shared" si="65"/>
        <v>200622.08927323099</v>
      </c>
      <c r="FT37" s="104">
        <f t="shared" si="65"/>
        <v>200622.08927323099</v>
      </c>
      <c r="FU37" s="104">
        <f t="shared" si="65"/>
        <v>200622.08927323099</v>
      </c>
      <c r="FV37" s="104">
        <f t="shared" si="65"/>
        <v>200622.08927323099</v>
      </c>
      <c r="FW37" s="104">
        <f t="shared" si="65"/>
        <v>200622.08927323099</v>
      </c>
      <c r="FX37" s="104">
        <f t="shared" si="65"/>
        <v>200622.08927323099</v>
      </c>
      <c r="FY37" s="104">
        <f t="shared" si="65"/>
        <v>200622.08927323099</v>
      </c>
      <c r="FZ37" s="104">
        <f t="shared" si="65"/>
        <v>200622.08927323099</v>
      </c>
      <c r="GA37" s="104">
        <f t="shared" si="65"/>
        <v>200622.08927323099</v>
      </c>
      <c r="GB37" s="104">
        <f t="shared" si="65"/>
        <v>200622.08927323099</v>
      </c>
      <c r="GC37" s="104">
        <f t="shared" si="65"/>
        <v>200622.08927323099</v>
      </c>
      <c r="GD37" s="104">
        <f t="shared" ref="GD37:GO37" si="66">$U27/12</f>
        <v>216242.6246686333</v>
      </c>
      <c r="GE37" s="104">
        <f t="shared" si="66"/>
        <v>216242.6246686333</v>
      </c>
      <c r="GF37" s="104">
        <f t="shared" si="66"/>
        <v>216242.6246686333</v>
      </c>
      <c r="GG37" s="104">
        <f t="shared" si="66"/>
        <v>216242.6246686333</v>
      </c>
      <c r="GH37" s="104">
        <f t="shared" si="66"/>
        <v>216242.6246686333</v>
      </c>
      <c r="GI37" s="104">
        <f t="shared" si="66"/>
        <v>216242.6246686333</v>
      </c>
      <c r="GJ37" s="104">
        <f t="shared" si="66"/>
        <v>216242.6246686333</v>
      </c>
      <c r="GK37" s="104">
        <f t="shared" si="66"/>
        <v>216242.6246686333</v>
      </c>
      <c r="GL37" s="104">
        <f t="shared" si="66"/>
        <v>216242.6246686333</v>
      </c>
      <c r="GM37" s="104">
        <f t="shared" si="66"/>
        <v>216242.6246686333</v>
      </c>
      <c r="GN37" s="104">
        <f t="shared" si="66"/>
        <v>216242.6246686333</v>
      </c>
      <c r="GO37" s="104">
        <f t="shared" si="66"/>
        <v>216242.6246686333</v>
      </c>
      <c r="GP37" s="104">
        <f t="shared" ref="GP37:HA37" si="67">$V27/12</f>
        <v>233079.35891901111</v>
      </c>
      <c r="GQ37" s="104">
        <f t="shared" si="67"/>
        <v>233079.35891901111</v>
      </c>
      <c r="GR37" s="104">
        <f t="shared" si="67"/>
        <v>233079.35891901111</v>
      </c>
      <c r="GS37" s="104">
        <f t="shared" si="67"/>
        <v>233079.35891901111</v>
      </c>
      <c r="GT37" s="104">
        <f t="shared" si="67"/>
        <v>233079.35891901111</v>
      </c>
      <c r="GU37" s="104">
        <f t="shared" si="67"/>
        <v>233079.35891901111</v>
      </c>
      <c r="GV37" s="104">
        <f t="shared" si="67"/>
        <v>233079.35891901111</v>
      </c>
      <c r="GW37" s="104">
        <f t="shared" si="67"/>
        <v>233079.35891901111</v>
      </c>
      <c r="GX37" s="104">
        <f t="shared" si="67"/>
        <v>233079.35891901111</v>
      </c>
      <c r="GY37" s="104">
        <f t="shared" si="67"/>
        <v>233079.35891901111</v>
      </c>
      <c r="GZ37" s="104">
        <f t="shared" si="67"/>
        <v>233079.35891901111</v>
      </c>
      <c r="HA37" s="104">
        <f t="shared" si="67"/>
        <v>233079.35891901111</v>
      </c>
      <c r="HB37" s="104">
        <f t="shared" ref="HB37:HM37" si="68">$W27/12</f>
        <v>251227.05666179399</v>
      </c>
      <c r="HC37" s="104">
        <f t="shared" si="68"/>
        <v>251227.05666179399</v>
      </c>
      <c r="HD37" s="104">
        <f t="shared" si="68"/>
        <v>251227.05666179399</v>
      </c>
      <c r="HE37" s="104">
        <f t="shared" si="68"/>
        <v>251227.05666179399</v>
      </c>
      <c r="HF37" s="104">
        <f t="shared" si="68"/>
        <v>251227.05666179399</v>
      </c>
      <c r="HG37" s="104">
        <f t="shared" si="68"/>
        <v>251227.05666179399</v>
      </c>
      <c r="HH37" s="104">
        <f t="shared" si="68"/>
        <v>251227.05666179399</v>
      </c>
      <c r="HI37" s="104">
        <f t="shared" si="68"/>
        <v>251227.05666179399</v>
      </c>
      <c r="HJ37" s="104">
        <f t="shared" si="68"/>
        <v>251227.05666179399</v>
      </c>
      <c r="HK37" s="104">
        <f t="shared" si="68"/>
        <v>251227.05666179399</v>
      </c>
      <c r="HL37" s="104">
        <f t="shared" si="68"/>
        <v>251227.05666179399</v>
      </c>
      <c r="HM37" s="104">
        <f t="shared" si="68"/>
        <v>251227.05666179399</v>
      </c>
      <c r="HN37" s="104">
        <f t="shared" ref="HN37:HY37" si="69">$X27/12</f>
        <v>270787.72867517511</v>
      </c>
      <c r="HO37" s="104">
        <f t="shared" si="69"/>
        <v>270787.72867517511</v>
      </c>
      <c r="HP37" s="104">
        <f t="shared" si="69"/>
        <v>270787.72867517511</v>
      </c>
      <c r="HQ37" s="104">
        <f t="shared" si="69"/>
        <v>270787.72867517511</v>
      </c>
      <c r="HR37" s="104">
        <f t="shared" si="69"/>
        <v>270787.72867517511</v>
      </c>
      <c r="HS37" s="104">
        <f t="shared" si="69"/>
        <v>270787.72867517511</v>
      </c>
      <c r="HT37" s="104">
        <f t="shared" si="69"/>
        <v>270787.72867517511</v>
      </c>
      <c r="HU37" s="104">
        <f t="shared" si="69"/>
        <v>270787.72867517511</v>
      </c>
      <c r="HV37" s="104">
        <f t="shared" si="69"/>
        <v>270787.72867517511</v>
      </c>
      <c r="HW37" s="104">
        <f t="shared" si="69"/>
        <v>270787.72867517511</v>
      </c>
      <c r="HX37" s="104">
        <f t="shared" si="69"/>
        <v>270787.72867517511</v>
      </c>
      <c r="HY37" s="104">
        <f t="shared" si="69"/>
        <v>270787.72867517511</v>
      </c>
      <c r="HZ37" s="104">
        <f t="shared" ref="HZ37:IK37" si="70">$Y27/12</f>
        <v>291871.39207960607</v>
      </c>
      <c r="IA37" s="104">
        <f t="shared" si="70"/>
        <v>291871.39207960607</v>
      </c>
      <c r="IB37" s="104">
        <f t="shared" si="70"/>
        <v>291871.39207960607</v>
      </c>
      <c r="IC37" s="104">
        <f t="shared" si="70"/>
        <v>291871.39207960607</v>
      </c>
      <c r="ID37" s="104">
        <f t="shared" si="70"/>
        <v>291871.39207960607</v>
      </c>
      <c r="IE37" s="104">
        <f t="shared" si="70"/>
        <v>291871.39207960607</v>
      </c>
      <c r="IF37" s="104">
        <f t="shared" si="70"/>
        <v>291871.39207960607</v>
      </c>
      <c r="IG37" s="104">
        <f t="shared" si="70"/>
        <v>291871.39207960607</v>
      </c>
      <c r="IH37" s="104">
        <f t="shared" si="70"/>
        <v>291871.39207960607</v>
      </c>
      <c r="II37" s="104">
        <f t="shared" si="70"/>
        <v>291871.39207960607</v>
      </c>
      <c r="IJ37" s="104">
        <f t="shared" si="70"/>
        <v>291871.39207960607</v>
      </c>
      <c r="IK37" s="104">
        <f t="shared" si="70"/>
        <v>291871.39207960607</v>
      </c>
      <c r="IL37" s="104">
        <f t="shared" ref="IL37:IW37" si="71">$Z27/12</f>
        <v>314596.6293166434</v>
      </c>
      <c r="IM37" s="104">
        <f t="shared" si="71"/>
        <v>314596.6293166434</v>
      </c>
      <c r="IN37" s="104">
        <f t="shared" si="71"/>
        <v>314596.6293166434</v>
      </c>
      <c r="IO37" s="104">
        <f t="shared" si="71"/>
        <v>314596.6293166434</v>
      </c>
      <c r="IP37" s="104">
        <f t="shared" si="71"/>
        <v>314596.6293166434</v>
      </c>
      <c r="IQ37" s="104">
        <f t="shared" si="71"/>
        <v>314596.6293166434</v>
      </c>
      <c r="IR37" s="104">
        <f t="shared" si="71"/>
        <v>314596.6293166434</v>
      </c>
      <c r="IS37" s="104">
        <f t="shared" si="71"/>
        <v>314596.6293166434</v>
      </c>
      <c r="IT37" s="104">
        <f t="shared" si="71"/>
        <v>314596.6293166434</v>
      </c>
      <c r="IU37" s="104">
        <f t="shared" si="71"/>
        <v>314596.6293166434</v>
      </c>
      <c r="IV37" s="104">
        <f t="shared" si="71"/>
        <v>314596.6293166434</v>
      </c>
      <c r="IW37" s="104">
        <f t="shared" si="71"/>
        <v>314596.6293166434</v>
      </c>
      <c r="IX37" s="104">
        <f t="shared" ref="IX37:JI37" si="72">$AA27/12</f>
        <v>339091.34373336873</v>
      </c>
      <c r="IY37" s="104">
        <f t="shared" si="72"/>
        <v>339091.34373336873</v>
      </c>
      <c r="IZ37" s="104">
        <f t="shared" si="72"/>
        <v>339091.34373336873</v>
      </c>
      <c r="JA37" s="104">
        <f t="shared" si="72"/>
        <v>339091.34373336873</v>
      </c>
      <c r="JB37" s="104">
        <f t="shared" si="72"/>
        <v>339091.34373336873</v>
      </c>
      <c r="JC37" s="104">
        <f t="shared" si="72"/>
        <v>339091.34373336873</v>
      </c>
      <c r="JD37" s="104">
        <f t="shared" si="72"/>
        <v>339091.34373336873</v>
      </c>
      <c r="JE37" s="104">
        <f t="shared" si="72"/>
        <v>339091.34373336873</v>
      </c>
      <c r="JF37" s="104">
        <f t="shared" si="72"/>
        <v>339091.34373336873</v>
      </c>
      <c r="JG37" s="104">
        <f t="shared" si="72"/>
        <v>339091.34373336873</v>
      </c>
      <c r="JH37" s="104">
        <f t="shared" si="72"/>
        <v>339091.34373336873</v>
      </c>
      <c r="JI37" s="104">
        <f t="shared" si="72"/>
        <v>339091.34373336873</v>
      </c>
      <c r="JJ37" s="104">
        <f t="shared" ref="JJ37:JU37" si="73">$AB27/12</f>
        <v>365493.12841014605</v>
      </c>
      <c r="JK37" s="104">
        <f t="shared" si="73"/>
        <v>365493.12841014605</v>
      </c>
      <c r="JL37" s="104">
        <f t="shared" si="73"/>
        <v>365493.12841014605</v>
      </c>
      <c r="JM37" s="104">
        <f t="shared" si="73"/>
        <v>365493.12841014605</v>
      </c>
      <c r="JN37" s="104">
        <f t="shared" si="73"/>
        <v>365493.12841014605</v>
      </c>
      <c r="JO37" s="104">
        <f t="shared" si="73"/>
        <v>365493.12841014605</v>
      </c>
      <c r="JP37" s="104">
        <f t="shared" si="73"/>
        <v>365493.12841014605</v>
      </c>
      <c r="JQ37" s="104">
        <f t="shared" si="73"/>
        <v>365493.12841014605</v>
      </c>
      <c r="JR37" s="104">
        <f t="shared" si="73"/>
        <v>365493.12841014605</v>
      </c>
      <c r="JS37" s="104">
        <f t="shared" si="73"/>
        <v>365493.12841014605</v>
      </c>
      <c r="JT37" s="104">
        <f t="shared" si="73"/>
        <v>365493.12841014605</v>
      </c>
      <c r="JU37" s="104">
        <f t="shared" si="73"/>
        <v>365493.12841014605</v>
      </c>
      <c r="JV37" s="104">
        <f t="shared" ref="JV37:KG37" si="74">$AC27/12</f>
        <v>393950.65789326723</v>
      </c>
      <c r="JW37" s="104">
        <f t="shared" si="74"/>
        <v>393950.65789326723</v>
      </c>
      <c r="JX37" s="104">
        <f t="shared" si="74"/>
        <v>393950.65789326723</v>
      </c>
      <c r="JY37" s="104">
        <f t="shared" si="74"/>
        <v>393950.65789326723</v>
      </c>
      <c r="JZ37" s="104">
        <f t="shared" si="74"/>
        <v>393950.65789326723</v>
      </c>
      <c r="KA37" s="104">
        <f t="shared" si="74"/>
        <v>393950.65789326723</v>
      </c>
      <c r="KB37" s="104">
        <f t="shared" si="74"/>
        <v>393950.65789326723</v>
      </c>
      <c r="KC37" s="104">
        <f t="shared" si="74"/>
        <v>393950.65789326723</v>
      </c>
      <c r="KD37" s="104">
        <f t="shared" si="74"/>
        <v>393950.65789326723</v>
      </c>
      <c r="KE37" s="104">
        <f t="shared" si="74"/>
        <v>393950.65789326723</v>
      </c>
      <c r="KF37" s="104">
        <f t="shared" si="74"/>
        <v>393950.65789326723</v>
      </c>
      <c r="KG37" s="104">
        <f t="shared" si="74"/>
        <v>393950.65789326723</v>
      </c>
      <c r="KH37" s="104">
        <f t="shared" ref="KH37:KS37" si="75">$AD27/12</f>
        <v>424623.7848949653</v>
      </c>
      <c r="KI37" s="104">
        <f t="shared" si="75"/>
        <v>424623.7848949653</v>
      </c>
      <c r="KJ37" s="104">
        <f t="shared" si="75"/>
        <v>424623.7848949653</v>
      </c>
      <c r="KK37" s="104">
        <f t="shared" si="75"/>
        <v>424623.7848949653</v>
      </c>
      <c r="KL37" s="104">
        <f t="shared" si="75"/>
        <v>424623.7848949653</v>
      </c>
      <c r="KM37" s="104">
        <f t="shared" si="75"/>
        <v>424623.7848949653</v>
      </c>
      <c r="KN37" s="104">
        <f t="shared" si="75"/>
        <v>424623.7848949653</v>
      </c>
      <c r="KO37" s="104">
        <f t="shared" si="75"/>
        <v>424623.7848949653</v>
      </c>
      <c r="KP37" s="104">
        <f t="shared" si="75"/>
        <v>424623.7848949653</v>
      </c>
      <c r="KQ37" s="104">
        <f t="shared" si="75"/>
        <v>424623.7848949653</v>
      </c>
      <c r="KR37" s="104">
        <f t="shared" si="75"/>
        <v>424623.7848949653</v>
      </c>
      <c r="KS37" s="104">
        <f t="shared" si="75"/>
        <v>424623.7848949653</v>
      </c>
    </row>
    <row r="38" spans="1:305">
      <c r="A38" s="97"/>
      <c r="B38" s="58" t="s">
        <v>180</v>
      </c>
      <c r="C38" s="58"/>
      <c r="D38" s="98"/>
      <c r="E38" s="61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5"/>
      <c r="CM38" s="105"/>
      <c r="CN38" s="105"/>
      <c r="CO38" s="105"/>
      <c r="CP38" s="105"/>
      <c r="CQ38" s="105"/>
      <c r="CR38" s="105"/>
      <c r="CS38" s="105"/>
      <c r="CT38" s="105"/>
      <c r="CU38" s="105"/>
      <c r="CV38" s="105"/>
      <c r="CW38" s="105"/>
      <c r="CX38" s="105"/>
      <c r="CY38" s="105"/>
      <c r="CZ38" s="105"/>
      <c r="DA38" s="105"/>
      <c r="DB38" s="105"/>
      <c r="DC38" s="105"/>
      <c r="DD38" s="105"/>
      <c r="DE38" s="105"/>
      <c r="DF38" s="105"/>
      <c r="DG38" s="105"/>
      <c r="DH38" s="105"/>
      <c r="DI38" s="105"/>
      <c r="DJ38" s="105"/>
      <c r="DK38" s="105"/>
      <c r="DL38" s="105"/>
      <c r="DM38" s="105"/>
      <c r="DN38" s="105"/>
      <c r="DO38" s="105"/>
      <c r="DP38" s="105"/>
      <c r="DQ38" s="105"/>
      <c r="DR38" s="105"/>
      <c r="DS38" s="105"/>
      <c r="DT38" s="105"/>
      <c r="DU38" s="105"/>
      <c r="DV38" s="105"/>
      <c r="DW38" s="105"/>
      <c r="DX38" s="105"/>
      <c r="DY38" s="105"/>
      <c r="DZ38" s="105"/>
      <c r="EA38" s="105"/>
      <c r="EB38" s="105"/>
      <c r="EC38" s="105"/>
      <c r="ED38" s="105"/>
      <c r="EE38" s="105"/>
      <c r="EF38" s="105"/>
      <c r="EG38" s="105"/>
      <c r="EH38" s="105"/>
      <c r="EI38" s="105"/>
      <c r="EJ38" s="105"/>
      <c r="EK38" s="105"/>
      <c r="EL38" s="105"/>
      <c r="EM38" s="105"/>
      <c r="EN38" s="105"/>
      <c r="EO38" s="105"/>
      <c r="EP38" s="105"/>
      <c r="EQ38" s="105"/>
      <c r="ER38" s="105"/>
      <c r="ES38" s="105"/>
      <c r="ET38" s="105"/>
      <c r="EU38" s="105"/>
      <c r="EV38" s="105"/>
      <c r="EW38" s="105"/>
      <c r="EX38" s="105"/>
      <c r="EY38" s="105"/>
      <c r="EZ38" s="105"/>
      <c r="FA38" s="105"/>
      <c r="FB38" s="105"/>
      <c r="FC38" s="105"/>
      <c r="FD38" s="105"/>
      <c r="FE38" s="105"/>
      <c r="FF38" s="105"/>
      <c r="FG38" s="105"/>
      <c r="FH38" s="105"/>
      <c r="FI38" s="105"/>
      <c r="FJ38" s="105"/>
      <c r="FK38" s="105"/>
      <c r="FL38" s="105"/>
      <c r="FM38" s="105"/>
      <c r="FN38" s="105"/>
      <c r="FO38" s="105"/>
      <c r="FP38" s="105"/>
      <c r="FQ38" s="105"/>
      <c r="FR38" s="105"/>
      <c r="FS38" s="105"/>
      <c r="FT38" s="105"/>
      <c r="FU38" s="105"/>
      <c r="FV38" s="105"/>
      <c r="FW38" s="105"/>
      <c r="FX38" s="105"/>
      <c r="FY38" s="105"/>
      <c r="FZ38" s="105"/>
      <c r="GA38" s="105"/>
      <c r="GB38" s="105"/>
      <c r="GC38" s="105"/>
      <c r="GD38" s="105"/>
      <c r="GE38" s="105"/>
      <c r="GF38" s="105"/>
      <c r="GG38" s="105"/>
      <c r="GH38" s="105"/>
      <c r="GI38" s="105"/>
      <c r="GJ38" s="105"/>
      <c r="GK38" s="105"/>
      <c r="GL38" s="105"/>
      <c r="GM38" s="105"/>
      <c r="GN38" s="105"/>
      <c r="GO38" s="105"/>
      <c r="GP38" s="105"/>
      <c r="GQ38" s="105"/>
      <c r="GR38" s="105"/>
      <c r="GS38" s="105"/>
      <c r="GT38" s="105"/>
      <c r="GU38" s="105"/>
      <c r="GV38" s="105"/>
      <c r="GW38" s="105"/>
      <c r="GX38" s="105"/>
      <c r="GY38" s="105"/>
      <c r="GZ38" s="105"/>
      <c r="HA38" s="105"/>
      <c r="HB38" s="105"/>
      <c r="HC38" s="105"/>
      <c r="HD38" s="105"/>
      <c r="HE38" s="105"/>
      <c r="HF38" s="105"/>
      <c r="HG38" s="105"/>
      <c r="HH38" s="105"/>
      <c r="HI38" s="105"/>
      <c r="HJ38" s="105"/>
      <c r="HK38" s="105"/>
      <c r="HL38" s="105"/>
      <c r="HM38" s="105"/>
      <c r="HN38" s="105"/>
      <c r="HO38" s="105"/>
      <c r="HP38" s="105"/>
      <c r="HQ38" s="105"/>
      <c r="HR38" s="105"/>
      <c r="HS38" s="105"/>
      <c r="HT38" s="105"/>
      <c r="HU38" s="105"/>
      <c r="HV38" s="105"/>
      <c r="HW38" s="105"/>
      <c r="HX38" s="105"/>
      <c r="HY38" s="105"/>
      <c r="HZ38" s="105"/>
      <c r="IA38" s="105"/>
      <c r="IB38" s="105"/>
      <c r="IC38" s="105"/>
      <c r="ID38" s="105"/>
      <c r="IE38" s="105"/>
      <c r="IF38" s="105"/>
      <c r="IG38" s="105"/>
      <c r="IH38" s="105"/>
      <c r="II38" s="105"/>
      <c r="IJ38" s="105"/>
      <c r="IK38" s="105"/>
      <c r="IL38" s="105"/>
      <c r="IM38" s="105"/>
      <c r="IN38" s="105"/>
      <c r="IO38" s="105"/>
      <c r="IP38" s="105"/>
      <c r="IQ38" s="105"/>
      <c r="IR38" s="105"/>
      <c r="IS38" s="105"/>
      <c r="IT38" s="105"/>
      <c r="IU38" s="105"/>
      <c r="IV38" s="105"/>
      <c r="IW38" s="105"/>
      <c r="IX38" s="105"/>
      <c r="IY38" s="105"/>
      <c r="IZ38" s="105"/>
      <c r="JA38" s="105"/>
      <c r="JB38" s="105"/>
      <c r="JC38" s="105"/>
      <c r="JD38" s="105"/>
      <c r="JE38" s="105"/>
      <c r="JF38" s="105"/>
      <c r="JG38" s="105"/>
      <c r="JH38" s="105"/>
      <c r="JI38" s="105"/>
      <c r="JJ38" s="105"/>
      <c r="JK38" s="105"/>
      <c r="JL38" s="105"/>
      <c r="JM38" s="105"/>
      <c r="JN38" s="105"/>
      <c r="JO38" s="105"/>
      <c r="JP38" s="105"/>
      <c r="JQ38" s="105"/>
      <c r="JR38" s="105"/>
      <c r="JS38" s="105"/>
      <c r="JT38" s="105"/>
      <c r="JU38" s="105"/>
      <c r="JV38" s="105"/>
      <c r="JW38" s="105"/>
      <c r="JX38" s="105"/>
      <c r="JY38" s="105"/>
      <c r="JZ38" s="105"/>
      <c r="KA38" s="105"/>
      <c r="KB38" s="105"/>
      <c r="KC38" s="105"/>
      <c r="KD38" s="105"/>
      <c r="KE38" s="105"/>
      <c r="KF38" s="105"/>
      <c r="KG38" s="105"/>
      <c r="KH38" s="105"/>
      <c r="KI38" s="105"/>
      <c r="KJ38" s="105"/>
      <c r="KK38" s="105"/>
      <c r="KL38" s="105"/>
      <c r="KM38" s="105"/>
      <c r="KN38" s="105"/>
      <c r="KO38" s="105"/>
      <c r="KP38" s="105"/>
      <c r="KQ38" s="105"/>
      <c r="KR38" s="105"/>
      <c r="KS38" s="105"/>
    </row>
    <row r="39" spans="1:305">
      <c r="A39" s="100"/>
      <c r="B39" s="101" t="s">
        <v>5</v>
      </c>
      <c r="C39" s="58"/>
      <c r="D39" s="102"/>
      <c r="E39" s="103"/>
      <c r="F39" s="106">
        <f>SUM(F35:F37)</f>
        <v>1236396.9035561958</v>
      </c>
      <c r="G39" s="106">
        <f>SUM(G35:G37)</f>
        <v>1236396.9035561958</v>
      </c>
      <c r="H39" s="106">
        <f t="shared" ref="H39:BS39" si="76">SUM(H35:H37)</f>
        <v>1236396.9035561958</v>
      </c>
      <c r="I39" s="106">
        <f t="shared" si="76"/>
        <v>1236396.9035561958</v>
      </c>
      <c r="J39" s="106">
        <f t="shared" si="76"/>
        <v>1236396.9035561958</v>
      </c>
      <c r="K39" s="106">
        <f t="shared" si="76"/>
        <v>1236396.9035561958</v>
      </c>
      <c r="L39" s="106">
        <f t="shared" si="76"/>
        <v>1236396.9035561958</v>
      </c>
      <c r="M39" s="106">
        <f t="shared" si="76"/>
        <v>1236396.9035561958</v>
      </c>
      <c r="N39" s="106">
        <f t="shared" si="76"/>
        <v>1236396.9035561958</v>
      </c>
      <c r="O39" s="106">
        <f t="shared" si="76"/>
        <v>1236396.9035561958</v>
      </c>
      <c r="P39" s="106">
        <f t="shared" si="76"/>
        <v>1236396.9035561958</v>
      </c>
      <c r="Q39" s="106">
        <f t="shared" si="76"/>
        <v>1236396.9035561958</v>
      </c>
      <c r="R39" s="106">
        <f t="shared" si="76"/>
        <v>1332663.4354303544</v>
      </c>
      <c r="S39" s="106">
        <f t="shared" si="76"/>
        <v>1332663.4354303544</v>
      </c>
      <c r="T39" s="106">
        <f t="shared" si="76"/>
        <v>1332663.4354303544</v>
      </c>
      <c r="U39" s="106">
        <f t="shared" si="76"/>
        <v>1332663.4354303544</v>
      </c>
      <c r="V39" s="106">
        <f t="shared" si="76"/>
        <v>1332663.4354303544</v>
      </c>
      <c r="W39" s="106">
        <f t="shared" si="76"/>
        <v>1332663.4354303544</v>
      </c>
      <c r="X39" s="106">
        <f t="shared" si="76"/>
        <v>1332663.4354303544</v>
      </c>
      <c r="Y39" s="106">
        <f t="shared" si="76"/>
        <v>1332663.4354303544</v>
      </c>
      <c r="Z39" s="106">
        <f t="shared" si="76"/>
        <v>1332663.4354303544</v>
      </c>
      <c r="AA39" s="106">
        <f t="shared" si="76"/>
        <v>1332663.4354303544</v>
      </c>
      <c r="AB39" s="106">
        <f t="shared" si="76"/>
        <v>1332663.4354303544</v>
      </c>
      <c r="AC39" s="106">
        <f t="shared" si="76"/>
        <v>1332663.4354303544</v>
      </c>
      <c r="AD39" s="106">
        <f t="shared" si="76"/>
        <v>1436425.181032819</v>
      </c>
      <c r="AE39" s="106">
        <f t="shared" si="76"/>
        <v>1436425.181032819</v>
      </c>
      <c r="AF39" s="106">
        <f t="shared" si="76"/>
        <v>1436425.181032819</v>
      </c>
      <c r="AG39" s="106">
        <f t="shared" si="76"/>
        <v>1436425.181032819</v>
      </c>
      <c r="AH39" s="106">
        <f t="shared" si="76"/>
        <v>1436425.181032819</v>
      </c>
      <c r="AI39" s="106">
        <f t="shared" si="76"/>
        <v>1436425.181032819</v>
      </c>
      <c r="AJ39" s="106">
        <f t="shared" si="76"/>
        <v>1436425.181032819</v>
      </c>
      <c r="AK39" s="106">
        <f t="shared" si="76"/>
        <v>1436425.181032819</v>
      </c>
      <c r="AL39" s="106">
        <f t="shared" si="76"/>
        <v>1436425.181032819</v>
      </c>
      <c r="AM39" s="106">
        <f t="shared" si="76"/>
        <v>1436425.181032819</v>
      </c>
      <c r="AN39" s="106">
        <f t="shared" si="76"/>
        <v>1436425.181032819</v>
      </c>
      <c r="AO39" s="106">
        <f t="shared" si="76"/>
        <v>1436425.181032819</v>
      </c>
      <c r="AP39" s="106">
        <f t="shared" si="76"/>
        <v>1548266.188286755</v>
      </c>
      <c r="AQ39" s="106">
        <f t="shared" si="76"/>
        <v>1548266.188286755</v>
      </c>
      <c r="AR39" s="106">
        <f t="shared" si="76"/>
        <v>1548266.188286755</v>
      </c>
      <c r="AS39" s="106">
        <f t="shared" si="76"/>
        <v>1548266.188286755</v>
      </c>
      <c r="AT39" s="106">
        <f t="shared" si="76"/>
        <v>1548266.188286755</v>
      </c>
      <c r="AU39" s="106">
        <f t="shared" si="76"/>
        <v>1548266.188286755</v>
      </c>
      <c r="AV39" s="106">
        <f t="shared" si="76"/>
        <v>1548266.188286755</v>
      </c>
      <c r="AW39" s="106">
        <f t="shared" si="76"/>
        <v>1548266.188286755</v>
      </c>
      <c r="AX39" s="106">
        <f t="shared" si="76"/>
        <v>1548266.188286755</v>
      </c>
      <c r="AY39" s="106">
        <f t="shared" si="76"/>
        <v>1548266.188286755</v>
      </c>
      <c r="AZ39" s="106">
        <f t="shared" si="76"/>
        <v>1548266.188286755</v>
      </c>
      <c r="BA39" s="106">
        <f t="shared" si="76"/>
        <v>1548266.188286755</v>
      </c>
      <c r="BB39" s="106">
        <f t="shared" si="76"/>
        <v>1668814.814374652</v>
      </c>
      <c r="BC39" s="106">
        <f t="shared" si="76"/>
        <v>1668814.814374652</v>
      </c>
      <c r="BD39" s="106">
        <f t="shared" si="76"/>
        <v>1668814.814374652</v>
      </c>
      <c r="BE39" s="106">
        <f t="shared" si="76"/>
        <v>1668814.814374652</v>
      </c>
      <c r="BF39" s="106">
        <f t="shared" si="76"/>
        <v>1668814.814374652</v>
      </c>
      <c r="BG39" s="106">
        <f t="shared" si="76"/>
        <v>1668814.814374652</v>
      </c>
      <c r="BH39" s="106">
        <f t="shared" si="76"/>
        <v>1668814.814374652</v>
      </c>
      <c r="BI39" s="106">
        <f t="shared" si="76"/>
        <v>1668814.814374652</v>
      </c>
      <c r="BJ39" s="106">
        <f t="shared" si="76"/>
        <v>1668814.814374652</v>
      </c>
      <c r="BK39" s="106">
        <f t="shared" si="76"/>
        <v>1668814.814374652</v>
      </c>
      <c r="BL39" s="106">
        <f t="shared" si="76"/>
        <v>1668814.814374652</v>
      </c>
      <c r="BM39" s="106">
        <f t="shared" si="76"/>
        <v>1668814.814374652</v>
      </c>
      <c r="BN39" s="106">
        <f t="shared" si="76"/>
        <v>1798749.6134938854</v>
      </c>
      <c r="BO39" s="106">
        <f t="shared" si="76"/>
        <v>1798749.6134938854</v>
      </c>
      <c r="BP39" s="106">
        <f t="shared" si="76"/>
        <v>1798749.6134938854</v>
      </c>
      <c r="BQ39" s="106">
        <f t="shared" si="76"/>
        <v>1798749.6134938854</v>
      </c>
      <c r="BR39" s="106">
        <f t="shared" si="76"/>
        <v>1798749.6134938854</v>
      </c>
      <c r="BS39" s="106">
        <f t="shared" si="76"/>
        <v>1798749.6134938854</v>
      </c>
      <c r="BT39" s="106">
        <f t="shared" ref="BT39:EE39" si="77">SUM(BT35:BT37)</f>
        <v>1798749.6134938854</v>
      </c>
      <c r="BU39" s="106">
        <f t="shared" si="77"/>
        <v>1798749.6134938854</v>
      </c>
      <c r="BV39" s="106">
        <f t="shared" si="77"/>
        <v>1798749.6134938854</v>
      </c>
      <c r="BW39" s="106">
        <f t="shared" si="77"/>
        <v>1798749.6134938854</v>
      </c>
      <c r="BX39" s="106">
        <f t="shared" si="77"/>
        <v>1798749.6134938854</v>
      </c>
      <c r="BY39" s="106">
        <f t="shared" si="77"/>
        <v>1798749.6134938854</v>
      </c>
      <c r="BZ39" s="106">
        <f t="shared" si="77"/>
        <v>1938801.2982406523</v>
      </c>
      <c r="CA39" s="106">
        <f t="shared" si="77"/>
        <v>1938801.2982406523</v>
      </c>
      <c r="CB39" s="106">
        <f t="shared" si="77"/>
        <v>1938801.2982406523</v>
      </c>
      <c r="CC39" s="106">
        <f t="shared" si="77"/>
        <v>1938801.2982406523</v>
      </c>
      <c r="CD39" s="106">
        <f t="shared" si="77"/>
        <v>1938801.2982406523</v>
      </c>
      <c r="CE39" s="106">
        <f t="shared" si="77"/>
        <v>1938801.2982406523</v>
      </c>
      <c r="CF39" s="106">
        <f t="shared" si="77"/>
        <v>1938801.2982406523</v>
      </c>
      <c r="CG39" s="106">
        <f t="shared" si="77"/>
        <v>1938801.2982406523</v>
      </c>
      <c r="CH39" s="106">
        <f t="shared" si="77"/>
        <v>1938801.2982406523</v>
      </c>
      <c r="CI39" s="106">
        <f t="shared" si="77"/>
        <v>1938801.2982406523</v>
      </c>
      <c r="CJ39" s="106">
        <f t="shared" si="77"/>
        <v>1938801.2982406523</v>
      </c>
      <c r="CK39" s="106">
        <f t="shared" si="77"/>
        <v>1938801.2982406523</v>
      </c>
      <c r="CL39" s="106">
        <f t="shared" si="77"/>
        <v>2089757.4612109289</v>
      </c>
      <c r="CM39" s="106">
        <f t="shared" si="77"/>
        <v>2089757.4612109289</v>
      </c>
      <c r="CN39" s="106">
        <f t="shared" si="77"/>
        <v>2089757.4612109289</v>
      </c>
      <c r="CO39" s="106">
        <f t="shared" si="77"/>
        <v>2089757.4612109289</v>
      </c>
      <c r="CP39" s="106">
        <f t="shared" si="77"/>
        <v>2089757.4612109289</v>
      </c>
      <c r="CQ39" s="106">
        <f t="shared" si="77"/>
        <v>2089757.4612109289</v>
      </c>
      <c r="CR39" s="106">
        <f t="shared" si="77"/>
        <v>2089757.4612109289</v>
      </c>
      <c r="CS39" s="106">
        <f t="shared" si="77"/>
        <v>2089757.4612109289</v>
      </c>
      <c r="CT39" s="106">
        <f t="shared" si="77"/>
        <v>2089757.4612109289</v>
      </c>
      <c r="CU39" s="106">
        <f t="shared" si="77"/>
        <v>2089757.4612109289</v>
      </c>
      <c r="CV39" s="106">
        <f t="shared" si="77"/>
        <v>2089757.4612109289</v>
      </c>
      <c r="CW39" s="106">
        <f t="shared" si="77"/>
        <v>2089757.4612109289</v>
      </c>
      <c r="CX39" s="106">
        <f t="shared" si="77"/>
        <v>2252466.9980875901</v>
      </c>
      <c r="CY39" s="106">
        <f t="shared" si="77"/>
        <v>2252466.9980875901</v>
      </c>
      <c r="CZ39" s="106">
        <f t="shared" si="77"/>
        <v>2252466.9980875901</v>
      </c>
      <c r="DA39" s="106">
        <f t="shared" si="77"/>
        <v>2252466.9980875901</v>
      </c>
      <c r="DB39" s="106">
        <f t="shared" si="77"/>
        <v>2252466.9980875901</v>
      </c>
      <c r="DC39" s="106">
        <f t="shared" si="77"/>
        <v>2252466.9980875901</v>
      </c>
      <c r="DD39" s="106">
        <f t="shared" si="77"/>
        <v>2252466.9980875901</v>
      </c>
      <c r="DE39" s="106">
        <f t="shared" si="77"/>
        <v>2252466.9980875901</v>
      </c>
      <c r="DF39" s="106">
        <f t="shared" si="77"/>
        <v>2252466.9980875901</v>
      </c>
      <c r="DG39" s="106">
        <f t="shared" si="77"/>
        <v>2252466.9980875901</v>
      </c>
      <c r="DH39" s="106">
        <f t="shared" si="77"/>
        <v>2252466.9980875901</v>
      </c>
      <c r="DI39" s="106">
        <f t="shared" si="77"/>
        <v>2252466.9980875901</v>
      </c>
      <c r="DJ39" s="106">
        <f t="shared" si="77"/>
        <v>2427845.2865263098</v>
      </c>
      <c r="DK39" s="106">
        <f t="shared" si="77"/>
        <v>2427845.2865263098</v>
      </c>
      <c r="DL39" s="106">
        <f t="shared" si="77"/>
        <v>2427845.2865263098</v>
      </c>
      <c r="DM39" s="106">
        <f t="shared" si="77"/>
        <v>2427845.2865263098</v>
      </c>
      <c r="DN39" s="106">
        <f t="shared" si="77"/>
        <v>2427845.2865263098</v>
      </c>
      <c r="DO39" s="106">
        <f t="shared" si="77"/>
        <v>2427845.2865263098</v>
      </c>
      <c r="DP39" s="106">
        <f t="shared" si="77"/>
        <v>2427845.2865263098</v>
      </c>
      <c r="DQ39" s="106">
        <f t="shared" si="77"/>
        <v>2427845.2865263098</v>
      </c>
      <c r="DR39" s="106">
        <f t="shared" si="77"/>
        <v>2427845.2865263098</v>
      </c>
      <c r="DS39" s="106">
        <f t="shared" si="77"/>
        <v>2427845.2865263098</v>
      </c>
      <c r="DT39" s="106">
        <f t="shared" si="77"/>
        <v>2427845.2865263098</v>
      </c>
      <c r="DU39" s="106">
        <f t="shared" si="77"/>
        <v>2427845.2865263098</v>
      </c>
      <c r="DV39" s="106">
        <f t="shared" si="77"/>
        <v>2616878.560287544</v>
      </c>
      <c r="DW39" s="106">
        <f t="shared" si="77"/>
        <v>2616878.560287544</v>
      </c>
      <c r="DX39" s="106">
        <f t="shared" si="77"/>
        <v>2616878.560287544</v>
      </c>
      <c r="DY39" s="106">
        <f t="shared" si="77"/>
        <v>2616878.560287544</v>
      </c>
      <c r="DZ39" s="106">
        <f t="shared" si="77"/>
        <v>2616878.560287544</v>
      </c>
      <c r="EA39" s="106">
        <f t="shared" si="77"/>
        <v>2616878.560287544</v>
      </c>
      <c r="EB39" s="106">
        <f t="shared" si="77"/>
        <v>2616878.560287544</v>
      </c>
      <c r="EC39" s="106">
        <f t="shared" si="77"/>
        <v>2616878.560287544</v>
      </c>
      <c r="ED39" s="106">
        <f t="shared" si="77"/>
        <v>2616878.560287544</v>
      </c>
      <c r="EE39" s="106">
        <f t="shared" si="77"/>
        <v>2616878.560287544</v>
      </c>
      <c r="EF39" s="106">
        <f t="shared" ref="EF39:GQ39" si="78">SUM(EF35:EF37)</f>
        <v>2616878.560287544</v>
      </c>
      <c r="EG39" s="106">
        <f t="shared" si="78"/>
        <v>2616878.560287544</v>
      </c>
      <c r="EH39" s="106">
        <f t="shared" si="78"/>
        <v>2820629.92181997</v>
      </c>
      <c r="EI39" s="106">
        <f t="shared" si="78"/>
        <v>2820629.92181997</v>
      </c>
      <c r="EJ39" s="106">
        <f t="shared" si="78"/>
        <v>2820629.92181997</v>
      </c>
      <c r="EK39" s="106">
        <f t="shared" si="78"/>
        <v>2820629.92181997</v>
      </c>
      <c r="EL39" s="106">
        <f t="shared" si="78"/>
        <v>2820629.92181997</v>
      </c>
      <c r="EM39" s="106">
        <f t="shared" si="78"/>
        <v>2820629.92181997</v>
      </c>
      <c r="EN39" s="106">
        <f t="shared" si="78"/>
        <v>2820629.92181997</v>
      </c>
      <c r="EO39" s="106">
        <f t="shared" si="78"/>
        <v>2820629.92181997</v>
      </c>
      <c r="EP39" s="106">
        <f t="shared" si="78"/>
        <v>2820629.92181997</v>
      </c>
      <c r="EQ39" s="106">
        <f t="shared" si="78"/>
        <v>2820629.92181997</v>
      </c>
      <c r="ER39" s="106">
        <f t="shared" si="78"/>
        <v>2820629.92181997</v>
      </c>
      <c r="ES39" s="106">
        <f t="shared" si="78"/>
        <v>2820629.92181997</v>
      </c>
      <c r="ET39" s="106">
        <f t="shared" si="78"/>
        <v>3040245.5591882421</v>
      </c>
      <c r="EU39" s="106">
        <f t="shared" si="78"/>
        <v>3040245.5591882421</v>
      </c>
      <c r="EV39" s="106">
        <f t="shared" si="78"/>
        <v>3040245.5591882421</v>
      </c>
      <c r="EW39" s="106">
        <f t="shared" si="78"/>
        <v>3040245.5591882421</v>
      </c>
      <c r="EX39" s="106">
        <f t="shared" si="78"/>
        <v>3040245.5591882421</v>
      </c>
      <c r="EY39" s="106">
        <f t="shared" si="78"/>
        <v>3040245.5591882421</v>
      </c>
      <c r="EZ39" s="106">
        <f t="shared" si="78"/>
        <v>3040245.5591882421</v>
      </c>
      <c r="FA39" s="106">
        <f t="shared" si="78"/>
        <v>3040245.5591882421</v>
      </c>
      <c r="FB39" s="106">
        <f t="shared" si="78"/>
        <v>3040245.5591882421</v>
      </c>
      <c r="FC39" s="106">
        <f t="shared" si="78"/>
        <v>3040245.5591882421</v>
      </c>
      <c r="FD39" s="106">
        <f t="shared" si="78"/>
        <v>3040245.5591882421</v>
      </c>
      <c r="FE39" s="106">
        <f t="shared" si="78"/>
        <v>3040245.5591882421</v>
      </c>
      <c r="FF39" s="106">
        <f t="shared" si="78"/>
        <v>3276961.047880162</v>
      </c>
      <c r="FG39" s="106">
        <f t="shared" si="78"/>
        <v>3276961.047880162</v>
      </c>
      <c r="FH39" s="106">
        <f t="shared" si="78"/>
        <v>3276961.047880162</v>
      </c>
      <c r="FI39" s="106">
        <f t="shared" si="78"/>
        <v>3276961.047880162</v>
      </c>
      <c r="FJ39" s="106">
        <f t="shared" si="78"/>
        <v>3276961.047880162</v>
      </c>
      <c r="FK39" s="106">
        <f t="shared" si="78"/>
        <v>3276961.047880162</v>
      </c>
      <c r="FL39" s="106">
        <f t="shared" si="78"/>
        <v>3276961.047880162</v>
      </c>
      <c r="FM39" s="106">
        <f t="shared" si="78"/>
        <v>3276961.047880162</v>
      </c>
      <c r="FN39" s="106">
        <f t="shared" si="78"/>
        <v>3276961.047880162</v>
      </c>
      <c r="FO39" s="106">
        <f t="shared" si="78"/>
        <v>3276961.047880162</v>
      </c>
      <c r="FP39" s="106">
        <f t="shared" si="78"/>
        <v>3276961.047880162</v>
      </c>
      <c r="FQ39" s="106">
        <f t="shared" si="78"/>
        <v>3276961.047880162</v>
      </c>
      <c r="FR39" s="106">
        <f t="shared" si="78"/>
        <v>3532106.4039118197</v>
      </c>
      <c r="FS39" s="106">
        <f t="shared" si="78"/>
        <v>3532106.4039118197</v>
      </c>
      <c r="FT39" s="106">
        <f t="shared" si="78"/>
        <v>3532106.4039118197</v>
      </c>
      <c r="FU39" s="106">
        <f t="shared" si="78"/>
        <v>3532106.4039118197</v>
      </c>
      <c r="FV39" s="106">
        <f t="shared" si="78"/>
        <v>3532106.4039118197</v>
      </c>
      <c r="FW39" s="106">
        <f t="shared" si="78"/>
        <v>3532106.4039118197</v>
      </c>
      <c r="FX39" s="106">
        <f t="shared" si="78"/>
        <v>3532106.4039118197</v>
      </c>
      <c r="FY39" s="106">
        <f t="shared" si="78"/>
        <v>3532106.4039118197</v>
      </c>
      <c r="FZ39" s="106">
        <f t="shared" si="78"/>
        <v>3532106.4039118197</v>
      </c>
      <c r="GA39" s="106">
        <f t="shared" si="78"/>
        <v>3532106.4039118197</v>
      </c>
      <c r="GB39" s="106">
        <f t="shared" si="78"/>
        <v>3532106.4039118197</v>
      </c>
      <c r="GC39" s="106">
        <f t="shared" si="78"/>
        <v>3532106.4039118197</v>
      </c>
      <c r="GD39" s="106">
        <f t="shared" si="78"/>
        <v>3807118.1777468817</v>
      </c>
      <c r="GE39" s="106">
        <f t="shared" si="78"/>
        <v>3807118.1777468817</v>
      </c>
      <c r="GF39" s="106">
        <f t="shared" si="78"/>
        <v>3807118.1777468817</v>
      </c>
      <c r="GG39" s="106">
        <f t="shared" si="78"/>
        <v>3807118.1777468817</v>
      </c>
      <c r="GH39" s="106">
        <f t="shared" si="78"/>
        <v>3807118.1777468817</v>
      </c>
      <c r="GI39" s="106">
        <f t="shared" si="78"/>
        <v>3807118.1777468817</v>
      </c>
      <c r="GJ39" s="106">
        <f t="shared" si="78"/>
        <v>3807118.1777468817</v>
      </c>
      <c r="GK39" s="106">
        <f t="shared" si="78"/>
        <v>3807118.1777468817</v>
      </c>
      <c r="GL39" s="106">
        <f t="shared" si="78"/>
        <v>3807118.1777468817</v>
      </c>
      <c r="GM39" s="106">
        <f t="shared" si="78"/>
        <v>3807118.1777468817</v>
      </c>
      <c r="GN39" s="106">
        <f t="shared" si="78"/>
        <v>3807118.1777468817</v>
      </c>
      <c r="GO39" s="106">
        <f t="shared" si="78"/>
        <v>3807118.1777468817</v>
      </c>
      <c r="GP39" s="106">
        <f t="shared" si="78"/>
        <v>4103542.2699070293</v>
      </c>
      <c r="GQ39" s="106">
        <f t="shared" si="78"/>
        <v>4103542.2699070293</v>
      </c>
      <c r="GR39" s="106">
        <f t="shared" ref="GR39:JC39" si="79">SUM(GR35:GR37)</f>
        <v>4103542.2699070293</v>
      </c>
      <c r="GS39" s="106">
        <f t="shared" si="79"/>
        <v>4103542.2699070293</v>
      </c>
      <c r="GT39" s="106">
        <f t="shared" si="79"/>
        <v>4103542.2699070293</v>
      </c>
      <c r="GU39" s="106">
        <f t="shared" si="79"/>
        <v>4103542.2699070293</v>
      </c>
      <c r="GV39" s="106">
        <f t="shared" si="79"/>
        <v>4103542.2699070293</v>
      </c>
      <c r="GW39" s="106">
        <f t="shared" si="79"/>
        <v>4103542.2699070293</v>
      </c>
      <c r="GX39" s="106">
        <f t="shared" si="79"/>
        <v>4103542.2699070293</v>
      </c>
      <c r="GY39" s="106">
        <f t="shared" si="79"/>
        <v>4103542.2699070293</v>
      </c>
      <c r="GZ39" s="106">
        <f t="shared" si="79"/>
        <v>4103542.2699070293</v>
      </c>
      <c r="HA39" s="106">
        <f t="shared" si="79"/>
        <v>4103542.2699070293</v>
      </c>
      <c r="HB39" s="106">
        <f t="shared" si="79"/>
        <v>4423046.2832223242</v>
      </c>
      <c r="HC39" s="106">
        <f t="shared" si="79"/>
        <v>4423046.2832223242</v>
      </c>
      <c r="HD39" s="106">
        <f t="shared" si="79"/>
        <v>4423046.2832223242</v>
      </c>
      <c r="HE39" s="106">
        <f t="shared" si="79"/>
        <v>4423046.2832223242</v>
      </c>
      <c r="HF39" s="106">
        <f t="shared" si="79"/>
        <v>4423046.2832223242</v>
      </c>
      <c r="HG39" s="106">
        <f t="shared" si="79"/>
        <v>4423046.2832223242</v>
      </c>
      <c r="HH39" s="106">
        <f t="shared" si="79"/>
        <v>4423046.2832223242</v>
      </c>
      <c r="HI39" s="106">
        <f t="shared" si="79"/>
        <v>4423046.2832223242</v>
      </c>
      <c r="HJ39" s="106">
        <f t="shared" si="79"/>
        <v>4423046.2832223242</v>
      </c>
      <c r="HK39" s="106">
        <f t="shared" si="79"/>
        <v>4423046.2832223242</v>
      </c>
      <c r="HL39" s="106">
        <f t="shared" si="79"/>
        <v>4423046.2832223242</v>
      </c>
      <c r="HM39" s="106">
        <f t="shared" si="79"/>
        <v>4423046.2832223242</v>
      </c>
      <c r="HN39" s="106">
        <f t="shared" si="79"/>
        <v>4767426.8576522646</v>
      </c>
      <c r="HO39" s="106">
        <f t="shared" si="79"/>
        <v>4767426.8576522646</v>
      </c>
      <c r="HP39" s="106">
        <f t="shared" si="79"/>
        <v>4767426.8576522646</v>
      </c>
      <c r="HQ39" s="106">
        <f t="shared" si="79"/>
        <v>4767426.8576522646</v>
      </c>
      <c r="HR39" s="106">
        <f t="shared" si="79"/>
        <v>4767426.8576522646</v>
      </c>
      <c r="HS39" s="106">
        <f t="shared" si="79"/>
        <v>4767426.8576522646</v>
      </c>
      <c r="HT39" s="106">
        <f t="shared" si="79"/>
        <v>4767426.8576522646</v>
      </c>
      <c r="HU39" s="106">
        <f t="shared" si="79"/>
        <v>4767426.8576522646</v>
      </c>
      <c r="HV39" s="106">
        <f t="shared" si="79"/>
        <v>4767426.8576522646</v>
      </c>
      <c r="HW39" s="106">
        <f t="shared" si="79"/>
        <v>4767426.8576522646</v>
      </c>
      <c r="HX39" s="106">
        <f t="shared" si="79"/>
        <v>4767426.8576522646</v>
      </c>
      <c r="HY39" s="106">
        <f t="shared" si="79"/>
        <v>4767426.8576522646</v>
      </c>
      <c r="HZ39" s="106">
        <f t="shared" si="79"/>
        <v>5138621.4127156725</v>
      </c>
      <c r="IA39" s="106">
        <f t="shared" si="79"/>
        <v>5138621.4127156725</v>
      </c>
      <c r="IB39" s="106">
        <f t="shared" si="79"/>
        <v>5138621.4127156725</v>
      </c>
      <c r="IC39" s="106">
        <f t="shared" si="79"/>
        <v>5138621.4127156725</v>
      </c>
      <c r="ID39" s="106">
        <f t="shared" si="79"/>
        <v>5138621.4127156725</v>
      </c>
      <c r="IE39" s="106">
        <f t="shared" si="79"/>
        <v>5138621.4127156725</v>
      </c>
      <c r="IF39" s="106">
        <f t="shared" si="79"/>
        <v>5138621.4127156725</v>
      </c>
      <c r="IG39" s="106">
        <f t="shared" si="79"/>
        <v>5138621.4127156725</v>
      </c>
      <c r="IH39" s="106">
        <f t="shared" si="79"/>
        <v>5138621.4127156725</v>
      </c>
      <c r="II39" s="106">
        <f t="shared" si="79"/>
        <v>5138621.4127156725</v>
      </c>
      <c r="IJ39" s="106">
        <f t="shared" si="79"/>
        <v>5138621.4127156725</v>
      </c>
      <c r="IK39" s="106">
        <f t="shared" si="79"/>
        <v>5138621.4127156725</v>
      </c>
      <c r="IL39" s="106">
        <f t="shared" si="79"/>
        <v>5538717.2498851111</v>
      </c>
      <c r="IM39" s="106">
        <f t="shared" si="79"/>
        <v>5538717.2498851111</v>
      </c>
      <c r="IN39" s="106">
        <f t="shared" si="79"/>
        <v>5538717.2498851111</v>
      </c>
      <c r="IO39" s="106">
        <f t="shared" si="79"/>
        <v>5538717.2498851111</v>
      </c>
      <c r="IP39" s="106">
        <f t="shared" si="79"/>
        <v>5538717.2498851111</v>
      </c>
      <c r="IQ39" s="106">
        <f t="shared" si="79"/>
        <v>5538717.2498851111</v>
      </c>
      <c r="IR39" s="106">
        <f t="shared" si="79"/>
        <v>5538717.2498851111</v>
      </c>
      <c r="IS39" s="106">
        <f t="shared" si="79"/>
        <v>5538717.2498851111</v>
      </c>
      <c r="IT39" s="106">
        <f t="shared" si="79"/>
        <v>5538717.2498851111</v>
      </c>
      <c r="IU39" s="106">
        <f t="shared" si="79"/>
        <v>5538717.2498851111</v>
      </c>
      <c r="IV39" s="106">
        <f t="shared" si="79"/>
        <v>5538717.2498851111</v>
      </c>
      <c r="IW39" s="106">
        <f t="shared" si="79"/>
        <v>5538717.2498851111</v>
      </c>
      <c r="IX39" s="106">
        <f t="shared" si="79"/>
        <v>5969964.3151267068</v>
      </c>
      <c r="IY39" s="106">
        <f t="shared" si="79"/>
        <v>5969964.3151267068</v>
      </c>
      <c r="IZ39" s="106">
        <f t="shared" si="79"/>
        <v>5969964.3151267068</v>
      </c>
      <c r="JA39" s="106">
        <f t="shared" si="79"/>
        <v>5969964.3151267068</v>
      </c>
      <c r="JB39" s="106">
        <f t="shared" si="79"/>
        <v>5969964.3151267068</v>
      </c>
      <c r="JC39" s="106">
        <f t="shared" si="79"/>
        <v>5969964.3151267068</v>
      </c>
      <c r="JD39" s="106">
        <f t="shared" ref="JD39:KS39" si="80">SUM(JD35:JD37)</f>
        <v>5969964.3151267068</v>
      </c>
      <c r="JE39" s="106">
        <f t="shared" si="80"/>
        <v>5969964.3151267068</v>
      </c>
      <c r="JF39" s="106">
        <f t="shared" si="80"/>
        <v>5969964.3151267068</v>
      </c>
      <c r="JG39" s="106">
        <f t="shared" si="80"/>
        <v>5969964.3151267068</v>
      </c>
      <c r="JH39" s="106">
        <f t="shared" si="80"/>
        <v>5969964.3151267068</v>
      </c>
      <c r="JI39" s="106">
        <f t="shared" si="80"/>
        <v>5969964.3151267068</v>
      </c>
      <c r="JJ39" s="106">
        <f t="shared" si="80"/>
        <v>6434789.3434688784</v>
      </c>
      <c r="JK39" s="106">
        <f t="shared" si="80"/>
        <v>6434789.3434688784</v>
      </c>
      <c r="JL39" s="106">
        <f t="shared" si="80"/>
        <v>6434789.3434688784</v>
      </c>
      <c r="JM39" s="106">
        <f t="shared" si="80"/>
        <v>6434789.3434688784</v>
      </c>
      <c r="JN39" s="106">
        <f t="shared" si="80"/>
        <v>6434789.3434688784</v>
      </c>
      <c r="JO39" s="106">
        <f t="shared" si="80"/>
        <v>6434789.3434688784</v>
      </c>
      <c r="JP39" s="106">
        <f t="shared" si="80"/>
        <v>6434789.3434688784</v>
      </c>
      <c r="JQ39" s="106">
        <f t="shared" si="80"/>
        <v>6434789.3434688784</v>
      </c>
      <c r="JR39" s="106">
        <f t="shared" si="80"/>
        <v>6434789.3434688784</v>
      </c>
      <c r="JS39" s="106">
        <f t="shared" si="80"/>
        <v>6434789.3434688784</v>
      </c>
      <c r="JT39" s="106">
        <f t="shared" si="80"/>
        <v>6434789.3434688784</v>
      </c>
      <c r="JU39" s="106">
        <f t="shared" si="80"/>
        <v>6434789.3434688784</v>
      </c>
      <c r="JV39" s="106">
        <f t="shared" si="80"/>
        <v>6935805.5220498191</v>
      </c>
      <c r="JW39" s="106">
        <f t="shared" si="80"/>
        <v>6935805.5220498191</v>
      </c>
      <c r="JX39" s="106">
        <f t="shared" si="80"/>
        <v>6935805.5220498191</v>
      </c>
      <c r="JY39" s="106">
        <f t="shared" si="80"/>
        <v>6935805.5220498191</v>
      </c>
      <c r="JZ39" s="106">
        <f t="shared" si="80"/>
        <v>6935805.5220498191</v>
      </c>
      <c r="KA39" s="106">
        <f t="shared" si="80"/>
        <v>6935805.5220498191</v>
      </c>
      <c r="KB39" s="106">
        <f t="shared" si="80"/>
        <v>6935805.5220498191</v>
      </c>
      <c r="KC39" s="106">
        <f t="shared" si="80"/>
        <v>6935805.5220498191</v>
      </c>
      <c r="KD39" s="106">
        <f t="shared" si="80"/>
        <v>6935805.5220498191</v>
      </c>
      <c r="KE39" s="106">
        <f t="shared" si="80"/>
        <v>6935805.5220498191</v>
      </c>
      <c r="KF39" s="106">
        <f t="shared" si="80"/>
        <v>6935805.5220498191</v>
      </c>
      <c r="KG39" s="106">
        <f t="shared" si="80"/>
        <v>6935805.5220498191</v>
      </c>
      <c r="KH39" s="106">
        <f t="shared" si="80"/>
        <v>7475830.7639898853</v>
      </c>
      <c r="KI39" s="106">
        <f t="shared" si="80"/>
        <v>7475830.7639898853</v>
      </c>
      <c r="KJ39" s="106">
        <f t="shared" si="80"/>
        <v>7475830.7639898853</v>
      </c>
      <c r="KK39" s="106">
        <f t="shared" si="80"/>
        <v>7475830.7639898853</v>
      </c>
      <c r="KL39" s="106">
        <f t="shared" si="80"/>
        <v>7475830.7639898853</v>
      </c>
      <c r="KM39" s="106">
        <f t="shared" si="80"/>
        <v>7475830.7639898853</v>
      </c>
      <c r="KN39" s="106">
        <f t="shared" si="80"/>
        <v>7475830.7639898853</v>
      </c>
      <c r="KO39" s="106">
        <f t="shared" si="80"/>
        <v>7475830.7639898853</v>
      </c>
      <c r="KP39" s="106">
        <f t="shared" si="80"/>
        <v>7475830.7639898853</v>
      </c>
      <c r="KQ39" s="106">
        <f t="shared" si="80"/>
        <v>7475830.7639898853</v>
      </c>
      <c r="KR39" s="106">
        <f t="shared" si="80"/>
        <v>7475830.7639898853</v>
      </c>
      <c r="KS39" s="106">
        <f t="shared" si="80"/>
        <v>7475830.7639898853</v>
      </c>
    </row>
  </sheetData>
  <mergeCells count="32">
    <mergeCell ref="A1:R2"/>
    <mergeCell ref="F4:R4"/>
    <mergeCell ref="A3:B3"/>
    <mergeCell ref="B23:E23"/>
    <mergeCell ref="A18:C18"/>
    <mergeCell ref="B33:E33"/>
    <mergeCell ref="F32:Q32"/>
    <mergeCell ref="R32:AC32"/>
    <mergeCell ref="AD32:AO32"/>
    <mergeCell ref="AP32:BA32"/>
    <mergeCell ref="BB32:BM32"/>
    <mergeCell ref="BN32:BY32"/>
    <mergeCell ref="BZ32:CK32"/>
    <mergeCell ref="CL32:CW32"/>
    <mergeCell ref="CX32:DI32"/>
    <mergeCell ref="DJ32:DU32"/>
    <mergeCell ref="DV32:EG32"/>
    <mergeCell ref="EH32:ES32"/>
    <mergeCell ref="ET32:FE32"/>
    <mergeCell ref="FF32:FQ32"/>
    <mergeCell ref="FR32:GC32"/>
    <mergeCell ref="GD32:GO32"/>
    <mergeCell ref="GP32:HA32"/>
    <mergeCell ref="HB32:HM32"/>
    <mergeCell ref="HN32:HY32"/>
    <mergeCell ref="KH32:KS32"/>
    <mergeCell ref="KT32:LE32"/>
    <mergeCell ref="HZ32:IK32"/>
    <mergeCell ref="IL32:IW32"/>
    <mergeCell ref="IX32:JI32"/>
    <mergeCell ref="JJ32:JU32"/>
    <mergeCell ref="JV32:KG3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84"/>
  <sheetViews>
    <sheetView workbookViewId="0">
      <selection activeCell="I21" sqref="I21"/>
    </sheetView>
  </sheetViews>
  <sheetFormatPr baseColWidth="10" defaultColWidth="8.83203125" defaultRowHeight="15"/>
  <cols>
    <col min="1" max="1" width="29.83203125" bestFit="1" customWidth="1"/>
    <col min="2" max="2" width="53.5" bestFit="1" customWidth="1"/>
    <col min="3" max="3" width="16" bestFit="1" customWidth="1"/>
    <col min="4" max="4" width="32.33203125" bestFit="1" customWidth="1"/>
    <col min="5" max="5" width="18" bestFit="1" customWidth="1"/>
    <col min="6" max="6" width="19.83203125" bestFit="1" customWidth="1"/>
    <col min="7" max="7" width="13.33203125" bestFit="1" customWidth="1"/>
    <col min="8" max="8" width="22" bestFit="1" customWidth="1"/>
    <col min="9" max="14" width="13.33203125" bestFit="1" customWidth="1"/>
    <col min="15" max="27" width="14.33203125" bestFit="1" customWidth="1"/>
  </cols>
  <sheetData>
    <row r="1" spans="1:9" ht="17" thickBot="1">
      <c r="A1" s="494" t="s">
        <v>603</v>
      </c>
      <c r="B1" s="495"/>
      <c r="C1" s="495"/>
      <c r="D1" s="495"/>
      <c r="E1" s="495"/>
      <c r="F1" s="495"/>
      <c r="G1" s="495"/>
      <c r="H1" s="496"/>
    </row>
    <row r="2" spans="1:9">
      <c r="A2" s="497" t="s">
        <v>604</v>
      </c>
      <c r="B2" s="497"/>
      <c r="C2" s="497"/>
      <c r="D2" s="497"/>
      <c r="E2" s="497"/>
      <c r="F2" s="497"/>
      <c r="G2" s="497"/>
      <c r="H2" s="318"/>
    </row>
    <row r="3" spans="1:9" ht="26">
      <c r="A3" s="319"/>
      <c r="B3" s="320" t="s">
        <v>605</v>
      </c>
      <c r="C3" s="320" t="s">
        <v>606</v>
      </c>
      <c r="D3" s="320" t="s">
        <v>607</v>
      </c>
      <c r="E3" s="321" t="s">
        <v>608</v>
      </c>
      <c r="F3" s="320" t="s">
        <v>609</v>
      </c>
      <c r="G3" s="322" t="s">
        <v>610</v>
      </c>
      <c r="H3" s="323" t="s">
        <v>611</v>
      </c>
    </row>
    <row r="4" spans="1:9">
      <c r="A4" s="324">
        <v>0</v>
      </c>
      <c r="B4" s="324">
        <v>10</v>
      </c>
      <c r="C4" s="324">
        <f>2*3.5</f>
        <v>7</v>
      </c>
      <c r="D4" s="325">
        <f>150/12</f>
        <v>12.5</v>
      </c>
      <c r="E4" s="326">
        <v>0.2</v>
      </c>
      <c r="F4" s="327">
        <f>'[2]Enc. sociais'!C28</f>
        <v>0.76045800000000008</v>
      </c>
      <c r="G4" s="326">
        <v>0.2</v>
      </c>
      <c r="H4" s="328">
        <v>25</v>
      </c>
    </row>
    <row r="5" spans="1:9">
      <c r="A5" s="329"/>
      <c r="B5" s="329"/>
      <c r="C5" s="330"/>
      <c r="D5" s="331"/>
      <c r="E5" s="318"/>
      <c r="F5" s="332"/>
      <c r="G5" s="318"/>
      <c r="H5" s="318"/>
    </row>
    <row r="6" spans="1:9">
      <c r="A6" s="333"/>
      <c r="B6" s="333"/>
      <c r="C6" s="333"/>
      <c r="D6" s="333"/>
      <c r="E6" s="333"/>
      <c r="F6" s="333"/>
      <c r="G6" s="318"/>
      <c r="H6" s="318"/>
    </row>
    <row r="7" spans="1:9">
      <c r="A7" s="334" t="s">
        <v>612</v>
      </c>
      <c r="B7" s="334" t="s">
        <v>613</v>
      </c>
      <c r="C7" s="334" t="s">
        <v>487</v>
      </c>
      <c r="D7" s="334" t="s">
        <v>614</v>
      </c>
      <c r="E7" s="334" t="s">
        <v>615</v>
      </c>
      <c r="F7" s="334" t="s">
        <v>616</v>
      </c>
      <c r="G7" s="334"/>
      <c r="H7" s="323" t="s">
        <v>617</v>
      </c>
    </row>
    <row r="8" spans="1:9">
      <c r="A8" s="371" t="s">
        <v>618</v>
      </c>
      <c r="B8" s="337">
        <f>E76</f>
        <v>1</v>
      </c>
      <c r="C8" s="372">
        <f>4000*1.2318</f>
        <v>4927.2</v>
      </c>
      <c r="D8" s="373">
        <f>((C8*$F$4)+(($B$4+$C$4)*$H$4)+$D$4)</f>
        <v>4184.4286576000004</v>
      </c>
      <c r="E8" s="372">
        <f>(C8+D8)*B8</f>
        <v>9111.6286576000002</v>
      </c>
      <c r="F8" s="372">
        <f>E8*12</f>
        <v>109339.54389120001</v>
      </c>
      <c r="G8" s="335"/>
      <c r="H8" s="318"/>
    </row>
    <row r="9" spans="1:9" ht="16" thickBot="1">
      <c r="A9" s="371" t="s">
        <v>619</v>
      </c>
      <c r="B9" s="337">
        <f>E51+E63</f>
        <v>2</v>
      </c>
      <c r="C9" s="372">
        <f>2500*1.2318</f>
        <v>3079.5</v>
      </c>
      <c r="D9" s="373">
        <f>((C9*$F$4)+(C9*$E$4*2/25*8))+(($B$4+$C$4)*$H$4)+$D$4</f>
        <v>3173.5064110000003</v>
      </c>
      <c r="E9" s="372">
        <f>(C9+D9)*B9</f>
        <v>12506.012822000001</v>
      </c>
      <c r="F9" s="372">
        <f>E9*12</f>
        <v>150072.15386399999</v>
      </c>
      <c r="G9" s="335"/>
      <c r="H9" s="318"/>
    </row>
    <row r="10" spans="1:9" ht="26">
      <c r="A10" s="374" t="s">
        <v>620</v>
      </c>
      <c r="B10" s="321">
        <f>E41+E43</f>
        <v>3</v>
      </c>
      <c r="C10" s="373">
        <f>$B$38</f>
        <v>1212</v>
      </c>
      <c r="D10" s="373">
        <f>((C10*$F$4)+(C10*$E$4*2/25*8))+(($B$4+$C$4)*$H$4)+$D$4</f>
        <v>1514.3110960000001</v>
      </c>
      <c r="E10" s="373">
        <f t="shared" ref="E10" si="0">(C10+D10)*B10</f>
        <v>8178.9332880000011</v>
      </c>
      <c r="F10" s="373">
        <f t="shared" ref="F10" si="1">E10*12</f>
        <v>98147.199456000017</v>
      </c>
      <c r="G10" s="335"/>
      <c r="H10" s="454" t="s">
        <v>774</v>
      </c>
      <c r="I10" s="455"/>
    </row>
    <row r="11" spans="1:9">
      <c r="A11" s="371" t="s">
        <v>621</v>
      </c>
      <c r="B11" s="337">
        <f>E49+E61</f>
        <v>2</v>
      </c>
      <c r="C11" s="373">
        <f>$B$38</f>
        <v>1212</v>
      </c>
      <c r="D11" s="373">
        <f>((C11*$F$4)+(C11*$E$4*2/25*8))+(($B$4+$C$4)*$H$4)+$D$4</f>
        <v>1514.3110960000001</v>
      </c>
      <c r="E11" s="372">
        <f>(C11+D11)*B11</f>
        <v>5452.6221920000007</v>
      </c>
      <c r="F11" s="372">
        <f>E11*12</f>
        <v>65431.466304000009</v>
      </c>
      <c r="G11" s="335"/>
      <c r="H11" s="440">
        <v>2019</v>
      </c>
      <c r="I11" s="441">
        <v>4.3099999999999999E-2</v>
      </c>
    </row>
    <row r="12" spans="1:9">
      <c r="A12" s="371" t="s">
        <v>622</v>
      </c>
      <c r="B12" s="337">
        <f>(E53+E55+E58+E59+E60+E80+E72)*2+E57</f>
        <v>89</v>
      </c>
      <c r="C12" s="373">
        <f>$B$38*1.1</f>
        <v>1333.2</v>
      </c>
      <c r="D12" s="373">
        <f>((C12*$F$4)+(C12*$G$4)+(C12*$E$4*2/25*8))+(($B$4+$C$4)*$H$4)+$D$4</f>
        <v>1888.6322056000001</v>
      </c>
      <c r="E12" s="372">
        <f t="shared" ref="E12:E18" si="2">(C12+D12)*B12</f>
        <v>286743.06629839999</v>
      </c>
      <c r="F12" s="372">
        <f t="shared" ref="F12:F18" si="3">E12*12</f>
        <v>3440916.7955807997</v>
      </c>
      <c r="G12" s="335"/>
      <c r="H12" s="440">
        <v>2020</v>
      </c>
      <c r="I12" s="441">
        <v>4.5199999999999997E-2</v>
      </c>
    </row>
    <row r="13" spans="1:9">
      <c r="A13" s="375" t="s">
        <v>623</v>
      </c>
      <c r="B13" s="337">
        <f>E62</f>
        <v>1</v>
      </c>
      <c r="C13" s="373">
        <f>2500*1.2318</f>
        <v>3079.5</v>
      </c>
      <c r="D13" s="373">
        <f t="shared" ref="D13:D18" si="4">((C13*$F$4)+(C13*$E$4*2/25*8))+(($B$4+$C$4)*$H$4)+$D$4</f>
        <v>3173.5064110000003</v>
      </c>
      <c r="E13" s="372">
        <f t="shared" si="2"/>
        <v>6253.0064110000003</v>
      </c>
      <c r="F13" s="372">
        <f t="shared" si="3"/>
        <v>75036.076931999996</v>
      </c>
      <c r="G13" s="318"/>
      <c r="H13" s="440">
        <v>2021</v>
      </c>
      <c r="I13" s="441">
        <v>0.10059999999999999</v>
      </c>
    </row>
    <row r="14" spans="1:9" ht="16" thickBot="1">
      <c r="A14" s="376" t="s">
        <v>624</v>
      </c>
      <c r="B14" s="337">
        <f>E64+E65+E66+E67+E73+E74+E78+E79</f>
        <v>9</v>
      </c>
      <c r="C14" s="373">
        <f>2300*1.2318</f>
        <v>2833.14</v>
      </c>
      <c r="D14" s="373">
        <f t="shared" si="4"/>
        <v>2954.6258981200003</v>
      </c>
      <c r="E14" s="372">
        <f t="shared" si="2"/>
        <v>52089.893083080002</v>
      </c>
      <c r="F14" s="372">
        <f t="shared" si="3"/>
        <v>625078.71699695999</v>
      </c>
      <c r="G14" s="318"/>
      <c r="H14" s="442">
        <v>44652</v>
      </c>
      <c r="I14" s="443">
        <v>4.2900000000000001E-2</v>
      </c>
    </row>
    <row r="15" spans="1:9" ht="16" thickBot="1">
      <c r="A15" s="376" t="s">
        <v>625</v>
      </c>
      <c r="B15" s="337">
        <f>E68</f>
        <v>1</v>
      </c>
      <c r="C15" s="373">
        <f>2300*1.2318</f>
        <v>2833.14</v>
      </c>
      <c r="D15" s="373">
        <f t="shared" si="4"/>
        <v>2954.6258981200003</v>
      </c>
      <c r="E15" s="372">
        <f t="shared" si="2"/>
        <v>5787.7658981200002</v>
      </c>
      <c r="F15" s="372">
        <f t="shared" si="3"/>
        <v>69453.190777440002</v>
      </c>
      <c r="G15" s="318"/>
      <c r="H15" s="439" t="s">
        <v>772</v>
      </c>
      <c r="I15" s="444">
        <f>SUM(I11:I14)</f>
        <v>0.23179999999999998</v>
      </c>
    </row>
    <row r="16" spans="1:9">
      <c r="A16" s="376" t="s">
        <v>626</v>
      </c>
      <c r="B16" s="337">
        <f>E69</f>
        <v>1</v>
      </c>
      <c r="C16" s="373">
        <f>1250*1.2318</f>
        <v>1539.75</v>
      </c>
      <c r="D16" s="373">
        <f t="shared" si="4"/>
        <v>1805.5032055000001</v>
      </c>
      <c r="E16" s="372">
        <f t="shared" si="2"/>
        <v>3345.2532055000001</v>
      </c>
      <c r="F16" s="372">
        <f t="shared" si="3"/>
        <v>40143.038465999998</v>
      </c>
      <c r="G16" s="318"/>
      <c r="H16" s="318"/>
    </row>
    <row r="17" spans="1:8">
      <c r="A17" s="376" t="s">
        <v>627</v>
      </c>
      <c r="B17" s="337">
        <f>E71+E75+E77</f>
        <v>2</v>
      </c>
      <c r="C17" s="373">
        <f>2300*1.2318</f>
        <v>2833.14</v>
      </c>
      <c r="D17" s="373">
        <f t="shared" si="4"/>
        <v>2954.6258981200003</v>
      </c>
      <c r="E17" s="372">
        <f t="shared" si="2"/>
        <v>11575.53179624</v>
      </c>
      <c r="F17" s="372">
        <f t="shared" si="3"/>
        <v>138906.38155488</v>
      </c>
      <c r="G17" s="336"/>
      <c r="H17" s="336"/>
    </row>
    <row r="18" spans="1:8">
      <c r="A18" s="376" t="s">
        <v>628</v>
      </c>
      <c r="B18" s="337">
        <f>E50</f>
        <v>1</v>
      </c>
      <c r="C18" s="373">
        <f>$B$38*1.1</f>
        <v>1333.2</v>
      </c>
      <c r="D18" s="373">
        <f t="shared" si="4"/>
        <v>1621.9922056000003</v>
      </c>
      <c r="E18" s="372">
        <f t="shared" si="2"/>
        <v>2955.1922056000003</v>
      </c>
      <c r="F18" s="372">
        <f t="shared" si="3"/>
        <v>35462.306467200004</v>
      </c>
      <c r="G18" s="336"/>
      <c r="H18" s="336"/>
    </row>
    <row r="19" spans="1:8">
      <c r="A19" s="334" t="s">
        <v>629</v>
      </c>
      <c r="B19" s="337">
        <f>SUM(B8:B18)</f>
        <v>112</v>
      </c>
      <c r="C19" s="334"/>
      <c r="D19" s="334"/>
      <c r="E19" s="339">
        <f>SUM(E8:E18)</f>
        <v>403998.90585754003</v>
      </c>
      <c r="F19" s="339">
        <f>SUM(F8:F18)</f>
        <v>4847986.8702904796</v>
      </c>
      <c r="G19" s="338"/>
      <c r="H19" s="338"/>
    </row>
    <row r="20" spans="1:8">
      <c r="A20" s="377"/>
      <c r="B20" s="377"/>
      <c r="C20" s="377"/>
      <c r="D20" s="377"/>
      <c r="E20" s="377"/>
      <c r="F20" s="377"/>
      <c r="G20" s="336"/>
      <c r="H20" s="340"/>
    </row>
    <row r="21" spans="1:8">
      <c r="A21" s="334" t="s">
        <v>630</v>
      </c>
      <c r="B21" s="334" t="s">
        <v>613</v>
      </c>
      <c r="C21" s="334" t="s">
        <v>487</v>
      </c>
      <c r="D21" s="334" t="s">
        <v>614</v>
      </c>
      <c r="E21" s="334" t="s">
        <v>615</v>
      </c>
      <c r="F21" s="334" t="s">
        <v>616</v>
      </c>
      <c r="G21" s="338"/>
      <c r="H21" s="338"/>
    </row>
    <row r="22" spans="1:8">
      <c r="A22" s="371"/>
      <c r="B22" s="378"/>
      <c r="C22" s="372"/>
      <c r="D22" s="372"/>
      <c r="E22" s="372"/>
      <c r="F22" s="372"/>
      <c r="G22" s="341"/>
      <c r="H22" s="340"/>
    </row>
    <row r="23" spans="1:8">
      <c r="A23" s="334" t="s">
        <v>629</v>
      </c>
      <c r="B23" s="337">
        <f>SUM(B22)</f>
        <v>0</v>
      </c>
      <c r="C23" s="334"/>
      <c r="D23" s="334"/>
      <c r="E23" s="342">
        <f>SUM(E22)</f>
        <v>0</v>
      </c>
      <c r="F23" s="343">
        <f>SUM(F22)</f>
        <v>0</v>
      </c>
      <c r="G23" s="338"/>
      <c r="H23" s="338"/>
    </row>
    <row r="24" spans="1:8">
      <c r="A24" s="377"/>
      <c r="B24" s="377"/>
      <c r="C24" s="377"/>
      <c r="D24" s="377"/>
      <c r="E24" s="377"/>
      <c r="F24" s="377"/>
      <c r="G24" s="336"/>
      <c r="H24" s="340"/>
    </row>
    <row r="25" spans="1:8">
      <c r="A25" s="334" t="s">
        <v>631</v>
      </c>
      <c r="B25" s="334" t="s">
        <v>632</v>
      </c>
      <c r="C25" s="334" t="s">
        <v>633</v>
      </c>
      <c r="D25" s="334" t="s">
        <v>634</v>
      </c>
      <c r="E25" s="334" t="s">
        <v>635</v>
      </c>
      <c r="F25" s="334" t="s">
        <v>636</v>
      </c>
      <c r="G25" s="338"/>
      <c r="H25" s="338"/>
    </row>
    <row r="26" spans="1:8">
      <c r="A26" s="379" t="s">
        <v>637</v>
      </c>
      <c r="B26" s="337">
        <f>E44</f>
        <v>1</v>
      </c>
      <c r="C26" s="380">
        <f>3500*1.2318</f>
        <v>4311.3</v>
      </c>
      <c r="D26" s="372">
        <f>((C26*$F$4)+(($B$4+$C$4)*$H$4)+$D$4)</f>
        <v>3716.0625754000007</v>
      </c>
      <c r="E26" s="372">
        <f t="shared" ref="E26:E31" si="5">(C26+D26)*B26</f>
        <v>8027.3625754000004</v>
      </c>
      <c r="F26" s="372">
        <f t="shared" ref="F26:F31" si="6">E26*12</f>
        <v>96328.350904799998</v>
      </c>
      <c r="G26" s="341"/>
      <c r="H26" s="345"/>
    </row>
    <row r="27" spans="1:8">
      <c r="A27" s="379" t="s">
        <v>638</v>
      </c>
      <c r="B27" s="337">
        <f>E45+E46</f>
        <v>1</v>
      </c>
      <c r="C27" s="372">
        <f>2300*1.2318</f>
        <v>2833.14</v>
      </c>
      <c r="D27" s="372">
        <f t="shared" ref="D27:D29" si="7">((C27*$F$4)+(($B$4+$C$4)*$H$4)+$D$4)</f>
        <v>2591.9839781200003</v>
      </c>
      <c r="E27" s="372">
        <f t="shared" si="5"/>
        <v>5425.1239781200002</v>
      </c>
      <c r="F27" s="372">
        <f t="shared" si="6"/>
        <v>65101.487737440002</v>
      </c>
      <c r="G27" s="341"/>
      <c r="H27" s="346"/>
    </row>
    <row r="28" spans="1:8">
      <c r="A28" s="379" t="s">
        <v>639</v>
      </c>
      <c r="B28" s="337">
        <f>E47</f>
        <v>1</v>
      </c>
      <c r="C28" s="372">
        <f>1500*1.2318</f>
        <v>1847.7</v>
      </c>
      <c r="D28" s="372">
        <f t="shared" si="7"/>
        <v>1842.5982466000003</v>
      </c>
      <c r="E28" s="372">
        <f t="shared" si="5"/>
        <v>3690.2982466000003</v>
      </c>
      <c r="F28" s="372">
        <f t="shared" si="6"/>
        <v>44283.578959200007</v>
      </c>
      <c r="G28" s="347"/>
      <c r="H28" s="340"/>
    </row>
    <row r="29" spans="1:8">
      <c r="A29" s="379" t="s">
        <v>161</v>
      </c>
      <c r="B29" s="337">
        <f>E48</f>
        <v>1</v>
      </c>
      <c r="C29" s="372">
        <f>2500*1.2318</f>
        <v>3079.5</v>
      </c>
      <c r="D29" s="372">
        <f t="shared" si="7"/>
        <v>2779.3304110000004</v>
      </c>
      <c r="E29" s="372">
        <f t="shared" si="5"/>
        <v>5858.8304110000008</v>
      </c>
      <c r="F29" s="372">
        <f t="shared" si="6"/>
        <v>70305.964932000003</v>
      </c>
      <c r="G29" s="336"/>
      <c r="H29" s="336"/>
    </row>
    <row r="30" spans="1:8">
      <c r="A30" s="379" t="s">
        <v>640</v>
      </c>
      <c r="B30" s="337">
        <f>E42</f>
        <v>4</v>
      </c>
      <c r="C30" s="373">
        <f>$B$38*1.1</f>
        <v>1333.2</v>
      </c>
      <c r="D30" s="372">
        <f>((C30*$F$4)+(C30*$E$4*2/25*8))+(($B$4+$C$4)*$H$4)+$D$4</f>
        <v>1621.9922056000003</v>
      </c>
      <c r="E30" s="372">
        <f t="shared" si="5"/>
        <v>11820.768822400001</v>
      </c>
      <c r="F30" s="372">
        <f t="shared" si="6"/>
        <v>141849.22586880001</v>
      </c>
      <c r="G30" s="336"/>
      <c r="H30" s="336"/>
    </row>
    <row r="31" spans="1:8">
      <c r="A31" s="379" t="s">
        <v>641</v>
      </c>
      <c r="B31" s="337">
        <f>E70</f>
        <v>1</v>
      </c>
      <c r="C31" s="381">
        <f>2300*1.2318</f>
        <v>2833.14</v>
      </c>
      <c r="D31" s="372">
        <f>((C31*$F$4)+(($B$4+$C$4)*$H$4)+$D$4)</f>
        <v>2591.9839781200003</v>
      </c>
      <c r="E31" s="381">
        <f t="shared" si="5"/>
        <v>5425.1239781200002</v>
      </c>
      <c r="F31" s="381">
        <f t="shared" si="6"/>
        <v>65101.487737440002</v>
      </c>
      <c r="G31" s="336"/>
      <c r="H31" s="336"/>
    </row>
    <row r="32" spans="1:8">
      <c r="A32" s="334" t="s">
        <v>629</v>
      </c>
      <c r="B32" s="337">
        <f>SUM(B26:B31)</f>
        <v>9</v>
      </c>
      <c r="C32" s="334"/>
      <c r="D32" s="334"/>
      <c r="E32" s="342">
        <f>SUM(E26:E31)</f>
        <v>40247.508011639999</v>
      </c>
      <c r="F32" s="343">
        <f>SUM(F26:F31)</f>
        <v>482970.09613968001</v>
      </c>
      <c r="G32" s="338"/>
      <c r="H32" s="338"/>
    </row>
    <row r="33" spans="1:8">
      <c r="A33" s="377"/>
      <c r="B33" s="377"/>
      <c r="C33" s="377"/>
      <c r="D33" s="377"/>
      <c r="E33" s="377"/>
      <c r="F33" s="377"/>
      <c r="G33" s="336"/>
      <c r="H33" s="340"/>
    </row>
    <row r="34" spans="1:8" ht="16">
      <c r="A34" s="348" t="s">
        <v>642</v>
      </c>
      <c r="B34" s="349">
        <f>B32+B23+B19</f>
        <v>121</v>
      </c>
      <c r="C34" s="348"/>
      <c r="D34" s="348"/>
      <c r="E34" s="350">
        <f>E32+E23+E19</f>
        <v>444246.41386918002</v>
      </c>
      <c r="F34" s="350">
        <f>F32+F23+F19</f>
        <v>5330956.9664301593</v>
      </c>
      <c r="G34" s="338"/>
      <c r="H34" s="338"/>
    </row>
    <row r="35" spans="1:8">
      <c r="A35" s="344"/>
      <c r="B35" s="333"/>
      <c r="C35" s="333"/>
      <c r="D35" s="333"/>
      <c r="E35" s="333"/>
      <c r="F35" s="333"/>
      <c r="G35" s="336"/>
      <c r="H35" s="340"/>
    </row>
    <row r="36" spans="1:8" ht="16" thickBot="1">
      <c r="A36" s="351" t="s">
        <v>775</v>
      </c>
      <c r="B36" s="351"/>
      <c r="C36" s="351"/>
      <c r="D36" s="333"/>
      <c r="E36" s="333"/>
      <c r="F36" s="333"/>
      <c r="G36" s="336"/>
      <c r="H36" s="340"/>
    </row>
    <row r="37" spans="1:8" ht="16" thickBot="1">
      <c r="A37" s="352" t="s">
        <v>643</v>
      </c>
      <c r="B37" s="352" t="s">
        <v>644</v>
      </c>
      <c r="C37" s="351" t="s">
        <v>645</v>
      </c>
      <c r="D37" s="333"/>
      <c r="E37" s="333"/>
      <c r="F37" s="333"/>
      <c r="G37" s="336"/>
      <c r="H37" s="340"/>
    </row>
    <row r="38" spans="1:8" ht="16" thickBot="1">
      <c r="A38" s="353" t="s">
        <v>766</v>
      </c>
      <c r="B38" s="354">
        <v>1212</v>
      </c>
      <c r="C38" s="355">
        <v>2022</v>
      </c>
      <c r="D38" s="356" t="s">
        <v>767</v>
      </c>
      <c r="E38" s="333"/>
      <c r="F38" s="333"/>
      <c r="G38" s="336"/>
      <c r="H38" s="340"/>
    </row>
    <row r="39" spans="1:8">
      <c r="A39" s="333"/>
      <c r="B39" s="333"/>
      <c r="C39" s="333"/>
      <c r="D39" s="333"/>
      <c r="E39" s="318"/>
      <c r="F39" s="333"/>
      <c r="G39" s="344"/>
      <c r="H39" s="344"/>
    </row>
    <row r="40" spans="1:8">
      <c r="A40" s="333"/>
      <c r="B40" s="498" t="s">
        <v>646</v>
      </c>
      <c r="C40" s="498"/>
      <c r="D40" s="498"/>
      <c r="E40" s="382" t="s">
        <v>39</v>
      </c>
      <c r="F40" s="382" t="s">
        <v>647</v>
      </c>
      <c r="G40" s="344"/>
      <c r="H40" s="344"/>
    </row>
    <row r="41" spans="1:8">
      <c r="A41" s="333"/>
      <c r="B41" s="499" t="s">
        <v>648</v>
      </c>
      <c r="C41" s="500" t="s">
        <v>649</v>
      </c>
      <c r="D41" s="500"/>
      <c r="E41" s="383">
        <v>2</v>
      </c>
      <c r="F41" s="383">
        <v>10</v>
      </c>
      <c r="G41" s="336"/>
      <c r="H41" s="336"/>
    </row>
    <row r="42" spans="1:8">
      <c r="A42" s="333"/>
      <c r="B42" s="499"/>
      <c r="C42" s="500" t="s">
        <v>640</v>
      </c>
      <c r="D42" s="500"/>
      <c r="E42" s="383">
        <v>4</v>
      </c>
      <c r="F42" s="383">
        <v>10</v>
      </c>
      <c r="G42" s="336"/>
      <c r="H42" s="336"/>
    </row>
    <row r="43" spans="1:8">
      <c r="A43" s="333"/>
      <c r="B43" s="499"/>
      <c r="C43" s="500" t="s">
        <v>650</v>
      </c>
      <c r="D43" s="500"/>
      <c r="E43" s="383">
        <v>1</v>
      </c>
      <c r="F43" s="383">
        <v>10</v>
      </c>
      <c r="G43" s="336"/>
      <c r="H43" s="336"/>
    </row>
    <row r="44" spans="1:8">
      <c r="A44" s="333"/>
      <c r="B44" s="499" t="s">
        <v>651</v>
      </c>
      <c r="C44" s="500" t="s">
        <v>637</v>
      </c>
      <c r="D44" s="500"/>
      <c r="E44" s="383">
        <v>1</v>
      </c>
      <c r="F44" s="383">
        <v>8</v>
      </c>
      <c r="G44" s="336"/>
      <c r="H44" s="336"/>
    </row>
    <row r="45" spans="1:8">
      <c r="A45" s="333"/>
      <c r="B45" s="499"/>
      <c r="C45" s="500" t="s">
        <v>652</v>
      </c>
      <c r="D45" s="500"/>
      <c r="E45" s="383">
        <v>1</v>
      </c>
      <c r="F45" s="383">
        <v>8</v>
      </c>
      <c r="G45" s="344"/>
      <c r="H45" s="344"/>
    </row>
    <row r="46" spans="1:8">
      <c r="A46" s="333"/>
      <c r="B46" s="499"/>
      <c r="C46" s="500" t="s">
        <v>653</v>
      </c>
      <c r="D46" s="500"/>
      <c r="E46" s="384">
        <v>0</v>
      </c>
      <c r="F46" s="384">
        <v>8</v>
      </c>
      <c r="G46" s="344"/>
      <c r="H46" s="344"/>
    </row>
    <row r="47" spans="1:8">
      <c r="A47" s="333"/>
      <c r="B47" s="499"/>
      <c r="C47" s="500" t="s">
        <v>654</v>
      </c>
      <c r="D47" s="500"/>
      <c r="E47" s="383">
        <v>1</v>
      </c>
      <c r="F47" s="383">
        <v>8</v>
      </c>
      <c r="G47" s="344"/>
      <c r="H47" s="344"/>
    </row>
    <row r="48" spans="1:8">
      <c r="A48" s="333"/>
      <c r="B48" s="499"/>
      <c r="C48" s="500" t="s">
        <v>161</v>
      </c>
      <c r="D48" s="500"/>
      <c r="E48" s="383">
        <v>1</v>
      </c>
      <c r="F48" s="383">
        <v>8</v>
      </c>
      <c r="G48" s="344"/>
      <c r="H48" s="344"/>
    </row>
    <row r="49" spans="1:8">
      <c r="A49" s="333"/>
      <c r="B49" s="499"/>
      <c r="C49" s="500" t="s">
        <v>655</v>
      </c>
      <c r="D49" s="500"/>
      <c r="E49" s="383">
        <v>1</v>
      </c>
      <c r="F49" s="383">
        <v>8</v>
      </c>
      <c r="G49" s="344"/>
      <c r="H49" s="344"/>
    </row>
    <row r="50" spans="1:8">
      <c r="A50" s="333"/>
      <c r="B50" s="499"/>
      <c r="C50" s="500" t="s">
        <v>656</v>
      </c>
      <c r="D50" s="500"/>
      <c r="E50" s="383">
        <v>1</v>
      </c>
      <c r="F50" s="383">
        <v>10</v>
      </c>
      <c r="G50" s="344"/>
      <c r="H50" s="344"/>
    </row>
    <row r="51" spans="1:8">
      <c r="A51" s="333"/>
      <c r="B51" s="499" t="s">
        <v>657</v>
      </c>
      <c r="C51" s="500" t="s">
        <v>658</v>
      </c>
      <c r="D51" s="500"/>
      <c r="E51" s="385">
        <v>1</v>
      </c>
      <c r="F51" s="385">
        <v>10</v>
      </c>
      <c r="G51" s="344"/>
      <c r="H51" s="344"/>
    </row>
    <row r="52" spans="1:8">
      <c r="A52" s="333"/>
      <c r="B52" s="499"/>
      <c r="C52" s="500" t="s">
        <v>659</v>
      </c>
      <c r="D52" s="500"/>
      <c r="E52" s="385"/>
      <c r="F52" s="385"/>
      <c r="G52" s="344"/>
      <c r="H52" s="344"/>
    </row>
    <row r="53" spans="1:8">
      <c r="A53" s="333"/>
      <c r="B53" s="499"/>
      <c r="C53" s="500" t="s">
        <v>660</v>
      </c>
      <c r="D53" s="500"/>
      <c r="E53" s="385">
        <v>8</v>
      </c>
      <c r="F53" s="385">
        <v>8</v>
      </c>
      <c r="G53" s="344"/>
      <c r="H53" s="344"/>
    </row>
    <row r="54" spans="1:8">
      <c r="A54" s="333"/>
      <c r="B54" s="499"/>
      <c r="C54" s="500" t="s">
        <v>661</v>
      </c>
      <c r="D54" s="500"/>
      <c r="E54" s="385"/>
      <c r="F54" s="385"/>
      <c r="G54" s="344"/>
      <c r="H54" s="344"/>
    </row>
    <row r="55" spans="1:8">
      <c r="A55" s="333"/>
      <c r="B55" s="499"/>
      <c r="C55" s="500" t="s">
        <v>660</v>
      </c>
      <c r="D55" s="500"/>
      <c r="E55" s="385">
        <v>2</v>
      </c>
      <c r="F55" s="385">
        <v>8</v>
      </c>
      <c r="G55" s="344"/>
      <c r="H55" s="344"/>
    </row>
    <row r="56" spans="1:8">
      <c r="A56" s="333"/>
      <c r="B56" s="499"/>
      <c r="C56" s="500" t="s">
        <v>662</v>
      </c>
      <c r="D56" s="500"/>
      <c r="E56" s="385"/>
      <c r="F56" s="385"/>
      <c r="G56" s="344"/>
      <c r="H56" s="344"/>
    </row>
    <row r="57" spans="1:8" s="39" customFormat="1">
      <c r="A57" s="333"/>
      <c r="B57" s="499"/>
      <c r="C57" s="500" t="s">
        <v>694</v>
      </c>
      <c r="D57" s="500"/>
      <c r="E57" s="385">
        <v>3</v>
      </c>
      <c r="F57" s="385"/>
      <c r="G57" s="344"/>
      <c r="H57" s="344"/>
    </row>
    <row r="58" spans="1:8">
      <c r="A58" s="333"/>
      <c r="B58" s="499"/>
      <c r="C58" s="500" t="s">
        <v>663</v>
      </c>
      <c r="D58" s="500"/>
      <c r="E58" s="385">
        <v>20</v>
      </c>
      <c r="F58" s="385">
        <v>8</v>
      </c>
      <c r="G58" s="344"/>
      <c r="H58" s="344"/>
    </row>
    <row r="59" spans="1:8">
      <c r="A59" s="333"/>
      <c r="B59" s="499"/>
      <c r="C59" s="501" t="s">
        <v>664</v>
      </c>
      <c r="D59" s="501"/>
      <c r="E59" s="385">
        <v>4</v>
      </c>
      <c r="F59" s="385">
        <v>8</v>
      </c>
      <c r="G59" s="344"/>
      <c r="H59" s="344"/>
    </row>
    <row r="60" spans="1:8">
      <c r="A60" s="333"/>
      <c r="B60" s="499"/>
      <c r="C60" s="500" t="s">
        <v>665</v>
      </c>
      <c r="D60" s="500"/>
      <c r="E60" s="385">
        <v>1</v>
      </c>
      <c r="F60" s="385">
        <v>8</v>
      </c>
      <c r="G60" s="344"/>
      <c r="H60" s="344"/>
    </row>
    <row r="61" spans="1:8">
      <c r="A61" s="333"/>
      <c r="B61" s="499"/>
      <c r="C61" s="500" t="s">
        <v>666</v>
      </c>
      <c r="D61" s="500"/>
      <c r="E61" s="385">
        <v>1</v>
      </c>
      <c r="F61" s="385">
        <v>8</v>
      </c>
      <c r="G61" s="344"/>
      <c r="H61" s="344"/>
    </row>
    <row r="62" spans="1:8">
      <c r="A62" s="333"/>
      <c r="B62" s="499"/>
      <c r="C62" s="500" t="s">
        <v>623</v>
      </c>
      <c r="D62" s="500"/>
      <c r="E62" s="385">
        <v>1</v>
      </c>
      <c r="F62" s="385">
        <v>10</v>
      </c>
      <c r="G62" s="344"/>
      <c r="H62" s="344"/>
    </row>
    <row r="63" spans="1:8">
      <c r="A63" s="333"/>
      <c r="B63" s="499" t="s">
        <v>667</v>
      </c>
      <c r="C63" s="500" t="s">
        <v>668</v>
      </c>
      <c r="D63" s="500"/>
      <c r="E63" s="385">
        <v>1</v>
      </c>
      <c r="F63" s="385">
        <v>10</v>
      </c>
      <c r="G63" s="344"/>
      <c r="H63" s="344"/>
    </row>
    <row r="64" spans="1:8">
      <c r="A64" s="333"/>
      <c r="B64" s="499"/>
      <c r="C64" s="500" t="s">
        <v>669</v>
      </c>
      <c r="D64" s="500"/>
      <c r="E64" s="385">
        <v>0</v>
      </c>
      <c r="F64" s="385">
        <v>10</v>
      </c>
      <c r="G64" s="344"/>
      <c r="H64" s="344"/>
    </row>
    <row r="65" spans="1:8">
      <c r="A65" s="333"/>
      <c r="B65" s="499"/>
      <c r="C65" s="500" t="s">
        <v>670</v>
      </c>
      <c r="D65" s="500"/>
      <c r="E65" s="385">
        <v>2</v>
      </c>
      <c r="F65" s="385">
        <v>10</v>
      </c>
      <c r="G65" s="344"/>
      <c r="H65" s="344"/>
    </row>
    <row r="66" spans="1:8">
      <c r="A66" s="333"/>
      <c r="B66" s="499"/>
      <c r="C66" s="500" t="s">
        <v>671</v>
      </c>
      <c r="D66" s="500"/>
      <c r="E66" s="385">
        <v>1</v>
      </c>
      <c r="F66" s="385">
        <v>10</v>
      </c>
      <c r="G66" s="344"/>
      <c r="H66" s="344"/>
    </row>
    <row r="67" spans="1:8">
      <c r="A67" s="333"/>
      <c r="B67" s="499"/>
      <c r="C67" s="500" t="s">
        <v>672</v>
      </c>
      <c r="D67" s="500"/>
      <c r="E67" s="385">
        <v>1</v>
      </c>
      <c r="F67" s="385">
        <v>10</v>
      </c>
      <c r="G67" s="344"/>
      <c r="H67" s="344"/>
    </row>
    <row r="68" spans="1:8">
      <c r="A68" s="333"/>
      <c r="B68" s="499"/>
      <c r="C68" s="500" t="s">
        <v>625</v>
      </c>
      <c r="D68" s="500"/>
      <c r="E68" s="385">
        <v>1</v>
      </c>
      <c r="F68" s="385">
        <v>10</v>
      </c>
      <c r="G68" s="344"/>
      <c r="H68" s="344"/>
    </row>
    <row r="69" spans="1:8">
      <c r="A69" s="333"/>
      <c r="B69" s="499"/>
      <c r="C69" s="500" t="s">
        <v>673</v>
      </c>
      <c r="D69" s="500"/>
      <c r="E69" s="385">
        <v>1</v>
      </c>
      <c r="F69" s="385">
        <v>10</v>
      </c>
      <c r="G69" s="344"/>
      <c r="H69" s="344"/>
    </row>
    <row r="70" spans="1:8">
      <c r="A70" s="333"/>
      <c r="B70" s="499"/>
      <c r="C70" s="500" t="s">
        <v>641</v>
      </c>
      <c r="D70" s="500"/>
      <c r="E70" s="385">
        <v>1</v>
      </c>
      <c r="F70" s="385">
        <v>10</v>
      </c>
      <c r="G70" s="344"/>
      <c r="H70" s="344"/>
    </row>
    <row r="71" spans="1:8">
      <c r="A71" s="333"/>
      <c r="B71" s="499" t="s">
        <v>674</v>
      </c>
      <c r="C71" s="501" t="s">
        <v>753</v>
      </c>
      <c r="D71" s="501"/>
      <c r="E71" s="385">
        <v>1</v>
      </c>
      <c r="F71" s="385">
        <v>8</v>
      </c>
      <c r="G71" s="344"/>
      <c r="H71" s="344"/>
    </row>
    <row r="72" spans="1:8">
      <c r="A72" s="333"/>
      <c r="B72" s="499"/>
      <c r="C72" s="501" t="s">
        <v>675</v>
      </c>
      <c r="D72" s="501"/>
      <c r="E72" s="385">
        <v>4</v>
      </c>
      <c r="F72" s="385">
        <v>8</v>
      </c>
      <c r="G72" s="344"/>
      <c r="H72" s="344"/>
    </row>
    <row r="73" spans="1:8">
      <c r="A73" s="333"/>
      <c r="B73" s="499" t="s">
        <v>676</v>
      </c>
      <c r="C73" s="500" t="s">
        <v>677</v>
      </c>
      <c r="D73" s="500"/>
      <c r="E73" s="385">
        <v>1</v>
      </c>
      <c r="F73" s="385">
        <v>8</v>
      </c>
      <c r="G73" s="344"/>
      <c r="H73" s="344"/>
    </row>
    <row r="74" spans="1:8">
      <c r="A74" s="333"/>
      <c r="B74" s="499"/>
      <c r="C74" s="500" t="s">
        <v>678</v>
      </c>
      <c r="D74" s="500"/>
      <c r="E74" s="385">
        <v>1</v>
      </c>
      <c r="F74" s="385">
        <v>8</v>
      </c>
      <c r="G74" s="344"/>
      <c r="H74" s="344"/>
    </row>
    <row r="75" spans="1:8">
      <c r="A75" s="333"/>
      <c r="B75" s="499"/>
      <c r="C75" s="501" t="s">
        <v>627</v>
      </c>
      <c r="D75" s="501"/>
      <c r="E75" s="385">
        <v>1</v>
      </c>
      <c r="F75" s="385">
        <v>8</v>
      </c>
      <c r="G75" s="344"/>
      <c r="H75" s="344"/>
    </row>
    <row r="76" spans="1:8">
      <c r="A76" s="333"/>
      <c r="B76" s="499" t="s">
        <v>679</v>
      </c>
      <c r="C76" s="502" t="s">
        <v>618</v>
      </c>
      <c r="D76" s="502"/>
      <c r="E76" s="385">
        <v>1</v>
      </c>
      <c r="F76" s="385">
        <v>8</v>
      </c>
      <c r="G76" s="344"/>
      <c r="H76" s="344"/>
    </row>
    <row r="77" spans="1:8">
      <c r="A77" s="333"/>
      <c r="B77" s="499"/>
      <c r="C77" s="500" t="s">
        <v>680</v>
      </c>
      <c r="D77" s="500"/>
      <c r="E77" s="385">
        <v>0</v>
      </c>
      <c r="F77" s="385">
        <v>8</v>
      </c>
      <c r="G77" s="336"/>
      <c r="H77" s="336"/>
    </row>
    <row r="78" spans="1:8">
      <c r="A78" s="333"/>
      <c r="B78" s="499" t="s">
        <v>681</v>
      </c>
      <c r="C78" s="500" t="s">
        <v>669</v>
      </c>
      <c r="D78" s="500"/>
      <c r="E78" s="385">
        <v>1</v>
      </c>
      <c r="F78" s="385">
        <v>8</v>
      </c>
      <c r="G78" s="336"/>
      <c r="H78" s="336"/>
    </row>
    <row r="79" spans="1:8" ht="15" customHeight="1">
      <c r="A79" s="333"/>
      <c r="B79" s="499"/>
      <c r="C79" s="500" t="s">
        <v>682</v>
      </c>
      <c r="D79" s="500"/>
      <c r="E79" s="385">
        <v>2</v>
      </c>
      <c r="F79" s="385">
        <v>8</v>
      </c>
      <c r="G79" s="336"/>
      <c r="H79" s="336"/>
    </row>
    <row r="80" spans="1:8" ht="15.75" customHeight="1">
      <c r="A80" s="333"/>
      <c r="B80" s="499"/>
      <c r="C80" s="501" t="s">
        <v>675</v>
      </c>
      <c r="D80" s="501"/>
      <c r="E80" s="385">
        <v>4</v>
      </c>
      <c r="F80" s="385">
        <v>8</v>
      </c>
      <c r="G80" s="336"/>
      <c r="H80" s="336"/>
    </row>
    <row r="81" spans="1:27">
      <c r="A81" s="333"/>
      <c r="B81" s="333"/>
      <c r="C81" s="333"/>
      <c r="D81" s="333"/>
      <c r="E81" s="318"/>
      <c r="F81" s="333"/>
      <c r="G81" s="318"/>
      <c r="H81" s="318"/>
    </row>
    <row r="82" spans="1:27">
      <c r="A82" s="14" t="s">
        <v>683</v>
      </c>
      <c r="B82" s="386">
        <f>Reinvestimento!H6</f>
        <v>5.79E-2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s="39" customFormat="1">
      <c r="A83" s="14"/>
      <c r="B83" s="387" t="s">
        <v>179</v>
      </c>
      <c r="C83" s="388" t="s">
        <v>131</v>
      </c>
      <c r="D83" s="388" t="s">
        <v>132</v>
      </c>
      <c r="E83" s="388" t="s">
        <v>133</v>
      </c>
      <c r="F83" s="388" t="s">
        <v>134</v>
      </c>
      <c r="G83" s="388" t="s">
        <v>135</v>
      </c>
      <c r="H83" s="388" t="s">
        <v>136</v>
      </c>
      <c r="I83" s="388" t="s">
        <v>137</v>
      </c>
      <c r="J83" s="388" t="s">
        <v>138</v>
      </c>
      <c r="K83" s="388" t="s">
        <v>139</v>
      </c>
      <c r="L83" s="388" t="s">
        <v>140</v>
      </c>
      <c r="M83" s="388" t="s">
        <v>141</v>
      </c>
      <c r="N83" s="388" t="s">
        <v>142</v>
      </c>
      <c r="O83" s="388" t="s">
        <v>143</v>
      </c>
      <c r="P83" s="388" t="s">
        <v>144</v>
      </c>
      <c r="Q83" s="388" t="s">
        <v>145</v>
      </c>
      <c r="R83" s="388" t="s">
        <v>146</v>
      </c>
      <c r="S83" s="388" t="s">
        <v>147</v>
      </c>
      <c r="T83" s="388" t="s">
        <v>148</v>
      </c>
      <c r="U83" s="388" t="s">
        <v>149</v>
      </c>
      <c r="V83" s="388" t="s">
        <v>150</v>
      </c>
      <c r="W83" s="388" t="s">
        <v>151</v>
      </c>
      <c r="X83" s="388" t="s">
        <v>152</v>
      </c>
      <c r="Y83" s="388" t="s">
        <v>153</v>
      </c>
      <c r="Z83" s="388" t="s">
        <v>154</v>
      </c>
      <c r="AA83" s="388" t="s">
        <v>155</v>
      </c>
    </row>
    <row r="84" spans="1:27">
      <c r="A84" s="389" t="s">
        <v>163</v>
      </c>
      <c r="B84" s="390">
        <f>E34</f>
        <v>444246.41386918002</v>
      </c>
      <c r="C84" s="391">
        <f>B84*12</f>
        <v>5330956.9664301602</v>
      </c>
      <c r="D84" s="391">
        <f>C84*(1+$B$82)</f>
        <v>5639619.3747864673</v>
      </c>
      <c r="E84" s="391">
        <f t="shared" ref="E84:AA84" si="8">D84*(1+$B$82)</f>
        <v>5966153.3365866039</v>
      </c>
      <c r="F84" s="391">
        <f t="shared" si="8"/>
        <v>6311593.6147749685</v>
      </c>
      <c r="G84" s="391">
        <f t="shared" si="8"/>
        <v>6677034.8850704394</v>
      </c>
      <c r="H84" s="391">
        <f t="shared" si="8"/>
        <v>7063635.2049160181</v>
      </c>
      <c r="I84" s="391">
        <f t="shared" si="8"/>
        <v>7472619.6832806561</v>
      </c>
      <c r="J84" s="391">
        <f t="shared" si="8"/>
        <v>7905284.3629426062</v>
      </c>
      <c r="K84" s="391">
        <f t="shared" si="8"/>
        <v>8363000.3275569836</v>
      </c>
      <c r="L84" s="391">
        <f t="shared" si="8"/>
        <v>8847218.0465225335</v>
      </c>
      <c r="M84" s="391">
        <f t="shared" si="8"/>
        <v>9359471.9714161884</v>
      </c>
      <c r="N84" s="391">
        <f t="shared" si="8"/>
        <v>9901385.3985611871</v>
      </c>
      <c r="O84" s="391">
        <f t="shared" si="8"/>
        <v>10474675.61313788</v>
      </c>
      <c r="P84" s="391">
        <f t="shared" si="8"/>
        <v>11081159.331138564</v>
      </c>
      <c r="Q84" s="391">
        <f t="shared" si="8"/>
        <v>11722758.456411488</v>
      </c>
      <c r="R84" s="391">
        <f t="shared" si="8"/>
        <v>12401506.171037715</v>
      </c>
      <c r="S84" s="391">
        <f t="shared" si="8"/>
        <v>13119553.378340799</v>
      </c>
      <c r="T84" s="391">
        <f t="shared" si="8"/>
        <v>13879175.518946733</v>
      </c>
      <c r="U84" s="391">
        <f t="shared" si="8"/>
        <v>14682779.781493749</v>
      </c>
      <c r="V84" s="391">
        <f t="shared" si="8"/>
        <v>15532912.730842238</v>
      </c>
      <c r="W84" s="391">
        <f t="shared" si="8"/>
        <v>16432268.377958005</v>
      </c>
      <c r="X84" s="391">
        <f t="shared" si="8"/>
        <v>17383696.717041776</v>
      </c>
      <c r="Y84" s="391">
        <f t="shared" si="8"/>
        <v>18390212.756958496</v>
      </c>
      <c r="Z84" s="391">
        <f t="shared" si="8"/>
        <v>19455006.075586393</v>
      </c>
      <c r="AA84" s="391">
        <f t="shared" si="8"/>
        <v>20581450.927362848</v>
      </c>
    </row>
  </sheetData>
  <mergeCells count="52">
    <mergeCell ref="B76:B77"/>
    <mergeCell ref="C76:D76"/>
    <mergeCell ref="C77:D77"/>
    <mergeCell ref="B78:B80"/>
    <mergeCell ref="C78:D78"/>
    <mergeCell ref="C79:D79"/>
    <mergeCell ref="C80:D80"/>
    <mergeCell ref="C70:D70"/>
    <mergeCell ref="B71:B72"/>
    <mergeCell ref="C71:D71"/>
    <mergeCell ref="C72:D72"/>
    <mergeCell ref="B73:B75"/>
    <mergeCell ref="C73:D73"/>
    <mergeCell ref="C74:D74"/>
    <mergeCell ref="C75:D75"/>
    <mergeCell ref="C61:D61"/>
    <mergeCell ref="C62:D62"/>
    <mergeCell ref="B63:B70"/>
    <mergeCell ref="C63:D63"/>
    <mergeCell ref="C64:D64"/>
    <mergeCell ref="C65:D65"/>
    <mergeCell ref="C66:D66"/>
    <mergeCell ref="C67:D67"/>
    <mergeCell ref="C68:D68"/>
    <mergeCell ref="C69:D69"/>
    <mergeCell ref="B51:B62"/>
    <mergeCell ref="C51:D51"/>
    <mergeCell ref="C52:D52"/>
    <mergeCell ref="C53:D53"/>
    <mergeCell ref="C54:D54"/>
    <mergeCell ref="C55:D55"/>
    <mergeCell ref="C56:D56"/>
    <mergeCell ref="C58:D58"/>
    <mergeCell ref="C59:D59"/>
    <mergeCell ref="C60:D60"/>
    <mergeCell ref="B44:B50"/>
    <mergeCell ref="C44:D44"/>
    <mergeCell ref="C45:D45"/>
    <mergeCell ref="C46:D46"/>
    <mergeCell ref="C47:D47"/>
    <mergeCell ref="C48:D48"/>
    <mergeCell ref="C49:D49"/>
    <mergeCell ref="C50:D50"/>
    <mergeCell ref="C57:D57"/>
    <mergeCell ref="A1:H1"/>
    <mergeCell ref="A2:G2"/>
    <mergeCell ref="B40:D40"/>
    <mergeCell ref="B41:B43"/>
    <mergeCell ref="C41:D41"/>
    <mergeCell ref="C42:D42"/>
    <mergeCell ref="C43:D43"/>
    <mergeCell ref="H10:I10"/>
  </mergeCells>
  <pageMargins left="0.511811024" right="0.511811024" top="0.78740157499999996" bottom="0.78740157499999996" header="0.31496062000000002" footer="0.31496062000000002"/>
  <ignoredErrors>
    <ignoredError sqref="C16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7"/>
  <sheetViews>
    <sheetView workbookViewId="0">
      <selection activeCell="B13" sqref="B13"/>
    </sheetView>
  </sheetViews>
  <sheetFormatPr baseColWidth="10" defaultColWidth="8.83203125" defaultRowHeight="15"/>
  <cols>
    <col min="1" max="1" width="41.5" customWidth="1"/>
    <col min="2" max="2" width="61.1640625" customWidth="1"/>
  </cols>
  <sheetData>
    <row r="1" spans="1:3">
      <c r="A1" s="316"/>
      <c r="B1" s="317"/>
      <c r="C1" s="317"/>
    </row>
    <row r="2" spans="1:3">
      <c r="A2" s="317"/>
      <c r="B2" s="317"/>
      <c r="C2" s="317"/>
    </row>
    <row r="3" spans="1:3">
      <c r="A3" s="392" t="s">
        <v>549</v>
      </c>
      <c r="B3" s="393"/>
      <c r="C3" s="393"/>
    </row>
    <row r="4" spans="1:3">
      <c r="A4" s="394"/>
      <c r="B4" s="394"/>
      <c r="C4" s="395" t="s">
        <v>550</v>
      </c>
    </row>
    <row r="5" spans="1:3">
      <c r="A5" s="396" t="s">
        <v>551</v>
      </c>
      <c r="B5" s="393" t="s">
        <v>552</v>
      </c>
      <c r="C5" s="397">
        <v>0.1</v>
      </c>
    </row>
    <row r="6" spans="1:3">
      <c r="A6" s="396" t="s">
        <v>553</v>
      </c>
      <c r="B6" s="393" t="s">
        <v>554</v>
      </c>
      <c r="C6" s="397">
        <v>0.08</v>
      </c>
    </row>
    <row r="7" spans="1:3">
      <c r="A7" s="396" t="s">
        <v>555</v>
      </c>
      <c r="B7" s="393" t="s">
        <v>556</v>
      </c>
      <c r="C7" s="397">
        <v>0</v>
      </c>
    </row>
    <row r="8" spans="1:3">
      <c r="A8" s="396" t="s">
        <v>557</v>
      </c>
      <c r="B8" s="393" t="s">
        <v>558</v>
      </c>
      <c r="C8" s="397">
        <v>0</v>
      </c>
    </row>
    <row r="9" spans="1:3">
      <c r="A9" s="396" t="s">
        <v>559</v>
      </c>
      <c r="B9" s="393" t="s">
        <v>560</v>
      </c>
      <c r="C9" s="397">
        <v>0</v>
      </c>
    </row>
    <row r="10" spans="1:3">
      <c r="A10" s="396" t="s">
        <v>561</v>
      </c>
      <c r="B10" s="393" t="s">
        <v>562</v>
      </c>
      <c r="C10" s="397">
        <v>0</v>
      </c>
    </row>
    <row r="11" spans="1:3">
      <c r="A11" s="396" t="s">
        <v>563</v>
      </c>
      <c r="B11" s="393" t="s">
        <v>564</v>
      </c>
      <c r="C11" s="397">
        <v>0</v>
      </c>
    </row>
    <row r="12" spans="1:3">
      <c r="A12" s="396" t="s">
        <v>565</v>
      </c>
      <c r="B12" s="393" t="s">
        <v>566</v>
      </c>
      <c r="C12" s="397">
        <v>0.03</v>
      </c>
    </row>
    <row r="13" spans="1:3" ht="32">
      <c r="A13" s="396" t="s">
        <v>567</v>
      </c>
      <c r="B13" s="398" t="s">
        <v>568</v>
      </c>
      <c r="C13" s="397">
        <v>0</v>
      </c>
    </row>
    <row r="14" spans="1:3">
      <c r="A14" s="395" t="s">
        <v>569</v>
      </c>
      <c r="B14" s="399" t="s">
        <v>570</v>
      </c>
      <c r="C14" s="400">
        <f>SUM(C5:C13)</f>
        <v>0.21</v>
      </c>
    </row>
    <row r="15" spans="1:3">
      <c r="A15" s="396" t="s">
        <v>571</v>
      </c>
      <c r="B15" s="393" t="s">
        <v>572</v>
      </c>
      <c r="C15" s="401">
        <v>0.129</v>
      </c>
    </row>
    <row r="16" spans="1:3">
      <c r="A16" s="396" t="s">
        <v>573</v>
      </c>
      <c r="B16" s="393" t="s">
        <v>574</v>
      </c>
      <c r="C16" s="402">
        <v>7.9000000000000008E-3</v>
      </c>
    </row>
    <row r="17" spans="1:3">
      <c r="A17" s="396" t="s">
        <v>575</v>
      </c>
      <c r="B17" s="393" t="s">
        <v>576</v>
      </c>
      <c r="C17" s="402">
        <v>3.3999999999999998E-3</v>
      </c>
    </row>
    <row r="18" spans="1:3">
      <c r="A18" s="396" t="s">
        <v>577</v>
      </c>
      <c r="B18" s="393" t="s">
        <v>578</v>
      </c>
      <c r="C18" s="402">
        <v>0.1057</v>
      </c>
    </row>
    <row r="19" spans="1:3" ht="16">
      <c r="A19" s="396" t="s">
        <v>579</v>
      </c>
      <c r="B19" s="403" t="s">
        <v>580</v>
      </c>
      <c r="C19" s="402">
        <v>0.02</v>
      </c>
    </row>
    <row r="20" spans="1:3">
      <c r="A20" s="395" t="s">
        <v>581</v>
      </c>
      <c r="B20" s="399" t="s">
        <v>582</v>
      </c>
      <c r="C20" s="404">
        <f>SUM(C15:C19)</f>
        <v>0.26600000000000001</v>
      </c>
    </row>
    <row r="21" spans="1:3">
      <c r="A21" s="396" t="s">
        <v>583</v>
      </c>
      <c r="B21" s="405" t="s">
        <v>584</v>
      </c>
      <c r="C21" s="402">
        <f>((C6)+(C6*C20))*45%</f>
        <v>4.5576000000000005E-2</v>
      </c>
    </row>
    <row r="22" spans="1:3">
      <c r="A22" s="396" t="s">
        <v>585</v>
      </c>
      <c r="B22" s="393" t="s">
        <v>586</v>
      </c>
      <c r="C22" s="402">
        <v>0.1057</v>
      </c>
    </row>
    <row r="23" spans="1:3">
      <c r="A23" s="396" t="s">
        <v>587</v>
      </c>
      <c r="B23" s="393" t="s">
        <v>588</v>
      </c>
      <c r="C23" s="402">
        <v>0.1057</v>
      </c>
    </row>
    <row r="24" spans="1:3">
      <c r="A24" s="395" t="s">
        <v>589</v>
      </c>
      <c r="B24" s="399" t="s">
        <v>590</v>
      </c>
      <c r="C24" s="404">
        <f>SUM(C21:C23)</f>
        <v>0.25697600000000004</v>
      </c>
    </row>
    <row r="25" spans="1:3">
      <c r="A25" s="396" t="s">
        <v>591</v>
      </c>
      <c r="B25" s="393" t="s">
        <v>592</v>
      </c>
      <c r="C25" s="402">
        <f>(C14-C6)*C18</f>
        <v>1.3741000000000001E-2</v>
      </c>
    </row>
    <row r="26" spans="1:3">
      <c r="A26" s="396" t="s">
        <v>593</v>
      </c>
      <c r="B26" s="393" t="s">
        <v>594</v>
      </c>
      <c r="C26" s="402">
        <f>(C14-C6)*C23</f>
        <v>1.3741000000000001E-2</v>
      </c>
    </row>
    <row r="27" spans="1:3">
      <c r="A27" s="395" t="s">
        <v>595</v>
      </c>
      <c r="B27" s="399" t="s">
        <v>596</v>
      </c>
      <c r="C27" s="404">
        <f>SUM(C25:C26)</f>
        <v>2.7482000000000003E-2</v>
      </c>
    </row>
    <row r="28" spans="1:3">
      <c r="A28" s="406"/>
      <c r="B28" s="407" t="s">
        <v>597</v>
      </c>
      <c r="C28" s="408">
        <f>C14+C20+C24+C27</f>
        <v>0.76045800000000008</v>
      </c>
    </row>
    <row r="29" spans="1:3">
      <c r="A29" s="393"/>
      <c r="B29" s="393"/>
      <c r="C29" s="393"/>
    </row>
    <row r="30" spans="1:3">
      <c r="A30" s="392" t="s">
        <v>598</v>
      </c>
      <c r="B30" s="393"/>
      <c r="C30" s="393"/>
    </row>
    <row r="31" spans="1:3">
      <c r="A31" s="393"/>
      <c r="B31" s="393"/>
      <c r="C31" s="393"/>
    </row>
    <row r="32" spans="1:3">
      <c r="A32" s="392" t="s">
        <v>549</v>
      </c>
      <c r="B32" s="393"/>
      <c r="C32" s="393"/>
    </row>
    <row r="33" spans="1:3">
      <c r="A33" s="394"/>
      <c r="B33" s="394"/>
      <c r="C33" s="395" t="s">
        <v>550</v>
      </c>
    </row>
    <row r="34" spans="1:3">
      <c r="A34" s="396" t="s">
        <v>551</v>
      </c>
      <c r="B34" s="393" t="s">
        <v>552</v>
      </c>
      <c r="C34" s="397">
        <v>0.1</v>
      </c>
    </row>
    <row r="35" spans="1:3">
      <c r="A35" s="396" t="s">
        <v>553</v>
      </c>
      <c r="B35" s="393" t="s">
        <v>554</v>
      </c>
      <c r="C35" s="397">
        <v>0.08</v>
      </c>
    </row>
    <row r="36" spans="1:3">
      <c r="A36" s="396" t="s">
        <v>555</v>
      </c>
      <c r="B36" s="393" t="s">
        <v>556</v>
      </c>
      <c r="C36" s="397">
        <v>0</v>
      </c>
    </row>
    <row r="37" spans="1:3">
      <c r="A37" s="396" t="s">
        <v>557</v>
      </c>
      <c r="B37" s="393" t="s">
        <v>558</v>
      </c>
      <c r="C37" s="397">
        <v>0</v>
      </c>
    </row>
    <row r="38" spans="1:3">
      <c r="A38" s="396" t="s">
        <v>559</v>
      </c>
      <c r="B38" s="393" t="s">
        <v>560</v>
      </c>
      <c r="C38" s="397">
        <v>0</v>
      </c>
    </row>
    <row r="39" spans="1:3">
      <c r="A39" s="396" t="s">
        <v>561</v>
      </c>
      <c r="B39" s="393" t="s">
        <v>562</v>
      </c>
      <c r="C39" s="397">
        <v>0</v>
      </c>
    </row>
    <row r="40" spans="1:3">
      <c r="A40" s="396" t="s">
        <v>563</v>
      </c>
      <c r="B40" s="393" t="s">
        <v>564</v>
      </c>
      <c r="C40" s="397">
        <v>0</v>
      </c>
    </row>
    <row r="41" spans="1:3">
      <c r="A41" s="396" t="s">
        <v>565</v>
      </c>
      <c r="B41" s="393" t="s">
        <v>566</v>
      </c>
      <c r="C41" s="397">
        <v>0.03</v>
      </c>
    </row>
    <row r="42" spans="1:3" ht="32">
      <c r="A42" s="396" t="s">
        <v>567</v>
      </c>
      <c r="B42" s="398" t="s">
        <v>568</v>
      </c>
      <c r="C42" s="397">
        <v>0</v>
      </c>
    </row>
    <row r="43" spans="1:3">
      <c r="A43" s="395" t="s">
        <v>569</v>
      </c>
      <c r="B43" s="399" t="s">
        <v>570</v>
      </c>
      <c r="C43" s="400">
        <f>SUM(C34:C42)</f>
        <v>0.21</v>
      </c>
    </row>
    <row r="44" spans="1:3">
      <c r="A44" s="396" t="s">
        <v>571</v>
      </c>
      <c r="B44" s="393" t="s">
        <v>572</v>
      </c>
      <c r="C44" s="401">
        <v>0.129</v>
      </c>
    </row>
    <row r="45" spans="1:3">
      <c r="A45" s="396" t="s">
        <v>573</v>
      </c>
      <c r="B45" s="393" t="s">
        <v>574</v>
      </c>
      <c r="C45" s="402">
        <v>7.9000000000000008E-3</v>
      </c>
    </row>
    <row r="46" spans="1:3">
      <c r="A46" s="396" t="s">
        <v>575</v>
      </c>
      <c r="B46" s="393" t="s">
        <v>576</v>
      </c>
      <c r="C46" s="402">
        <v>3.3999999999999998E-3</v>
      </c>
    </row>
    <row r="47" spans="1:3">
      <c r="A47" s="396" t="s">
        <v>577</v>
      </c>
      <c r="B47" s="393" t="s">
        <v>578</v>
      </c>
      <c r="C47" s="402">
        <v>0</v>
      </c>
    </row>
    <row r="48" spans="1:3" ht="32">
      <c r="A48" s="396" t="s">
        <v>579</v>
      </c>
      <c r="B48" s="409" t="s">
        <v>599</v>
      </c>
      <c r="C48" s="402">
        <v>0.02</v>
      </c>
    </row>
    <row r="49" spans="1:3">
      <c r="A49" s="395" t="s">
        <v>581</v>
      </c>
      <c r="B49" s="399" t="s">
        <v>582</v>
      </c>
      <c r="C49" s="404">
        <f>SUM(C44:C48)</f>
        <v>0.16029999999999997</v>
      </c>
    </row>
    <row r="50" spans="1:3">
      <c r="A50" s="396" t="s">
        <v>583</v>
      </c>
      <c r="B50" s="393" t="s">
        <v>600</v>
      </c>
      <c r="C50" s="402">
        <f>((C35)+(C35*C49))*45%</f>
        <v>4.1770800000000004E-2</v>
      </c>
    </row>
    <row r="51" spans="1:3">
      <c r="A51" s="396" t="s">
        <v>585</v>
      </c>
      <c r="B51" s="393" t="s">
        <v>586</v>
      </c>
      <c r="C51" s="402">
        <v>0</v>
      </c>
    </row>
    <row r="52" spans="1:3">
      <c r="A52" s="396" t="s">
        <v>587</v>
      </c>
      <c r="B52" s="393" t="s">
        <v>588</v>
      </c>
      <c r="C52" s="402">
        <v>0</v>
      </c>
    </row>
    <row r="53" spans="1:3">
      <c r="A53" s="395" t="s">
        <v>589</v>
      </c>
      <c r="B53" s="399" t="s">
        <v>590</v>
      </c>
      <c r="C53" s="404">
        <f>SUM(C50:C52)</f>
        <v>4.1770800000000004E-2</v>
      </c>
    </row>
    <row r="54" spans="1:3">
      <c r="A54" s="396" t="s">
        <v>591</v>
      </c>
      <c r="B54" s="393" t="s">
        <v>592</v>
      </c>
      <c r="C54" s="402">
        <f>(C43-C35)*C47</f>
        <v>0</v>
      </c>
    </row>
    <row r="55" spans="1:3">
      <c r="A55" s="396" t="s">
        <v>593</v>
      </c>
      <c r="B55" s="393" t="s">
        <v>594</v>
      </c>
      <c r="C55" s="402">
        <f>(C43-C35)*C52</f>
        <v>0</v>
      </c>
    </row>
    <row r="56" spans="1:3">
      <c r="A56" s="395" t="s">
        <v>595</v>
      </c>
      <c r="B56" s="399" t="s">
        <v>596</v>
      </c>
      <c r="C56" s="404">
        <f>SUM(C54:C55)</f>
        <v>0</v>
      </c>
    </row>
    <row r="57" spans="1:3">
      <c r="A57" s="406"/>
      <c r="B57" s="407" t="s">
        <v>597</v>
      </c>
      <c r="C57" s="408">
        <f>C43+C49+C53+C56</f>
        <v>0.41207079999999996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02"/>
  <sheetViews>
    <sheetView workbookViewId="0">
      <selection activeCell="B10" sqref="B10"/>
    </sheetView>
  </sheetViews>
  <sheetFormatPr baseColWidth="10" defaultColWidth="8.83203125" defaultRowHeight="15"/>
  <cols>
    <col min="1" max="1" width="41.6640625" bestFit="1" customWidth="1"/>
    <col min="2" max="2" width="25.5" bestFit="1" customWidth="1"/>
    <col min="3" max="3" width="24.33203125" bestFit="1" customWidth="1"/>
    <col min="4" max="8" width="18.83203125" bestFit="1" customWidth="1"/>
    <col min="9" max="9" width="19" bestFit="1" customWidth="1"/>
    <col min="10" max="16" width="18.83203125" bestFit="1" customWidth="1"/>
    <col min="17" max="18" width="17.6640625" bestFit="1" customWidth="1"/>
    <col min="19" max="22" width="18.83203125" bestFit="1" customWidth="1"/>
    <col min="23" max="27" width="15.5" bestFit="1" customWidth="1"/>
  </cols>
  <sheetData>
    <row r="1" spans="1:27">
      <c r="A1" s="503" t="s">
        <v>160</v>
      </c>
      <c r="B1" s="503"/>
      <c r="C1" s="503"/>
      <c r="D1" s="503"/>
      <c r="E1" s="503"/>
      <c r="F1" s="503"/>
      <c r="G1" s="410"/>
      <c r="H1" s="411"/>
      <c r="I1" s="411"/>
      <c r="J1" s="112">
        <v>937</v>
      </c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14"/>
      <c r="X1" s="14"/>
      <c r="Y1" s="14"/>
      <c r="Z1" s="14"/>
      <c r="AA1" s="14"/>
    </row>
    <row r="2" spans="1:27">
      <c r="A2" s="412" t="s">
        <v>769</v>
      </c>
      <c r="B2" s="413">
        <v>6.9199999999999998E-2</v>
      </c>
      <c r="C2" s="414" t="s">
        <v>768</v>
      </c>
      <c r="D2" s="414"/>
      <c r="E2" s="414"/>
      <c r="F2" s="414"/>
      <c r="G2" s="414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14"/>
      <c r="X2" s="14"/>
      <c r="Y2" s="14"/>
      <c r="Z2" s="14"/>
      <c r="AA2" s="14"/>
    </row>
    <row r="3" spans="1:27" s="114" customFormat="1">
      <c r="A3" s="415"/>
      <c r="B3" s="416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</row>
    <row r="4" spans="1:27">
      <c r="A4" s="418" t="s">
        <v>164</v>
      </c>
      <c r="B4" s="419"/>
      <c r="C4" s="419"/>
      <c r="D4" s="419"/>
      <c r="E4" s="419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14"/>
      <c r="X4" s="14"/>
      <c r="Y4" s="14"/>
      <c r="Z4" s="14"/>
      <c r="AA4" s="14"/>
    </row>
    <row r="5" spans="1:27">
      <c r="A5" s="420"/>
      <c r="B5" s="387" t="s">
        <v>179</v>
      </c>
      <c r="C5" s="421" t="s">
        <v>131</v>
      </c>
      <c r="D5" s="388" t="s">
        <v>132</v>
      </c>
      <c r="E5" s="388" t="s">
        <v>133</v>
      </c>
      <c r="F5" s="388" t="s">
        <v>134</v>
      </c>
      <c r="G5" s="388" t="s">
        <v>135</v>
      </c>
      <c r="H5" s="388" t="s">
        <v>136</v>
      </c>
      <c r="I5" s="388" t="s">
        <v>137</v>
      </c>
      <c r="J5" s="388" t="s">
        <v>138</v>
      </c>
      <c r="K5" s="388" t="s">
        <v>139</v>
      </c>
      <c r="L5" s="388" t="s">
        <v>140</v>
      </c>
      <c r="M5" s="388" t="s">
        <v>141</v>
      </c>
      <c r="N5" s="388" t="s">
        <v>142</v>
      </c>
      <c r="O5" s="388" t="s">
        <v>143</v>
      </c>
      <c r="P5" s="388" t="s">
        <v>144</v>
      </c>
      <c r="Q5" s="388" t="s">
        <v>145</v>
      </c>
      <c r="R5" s="388" t="s">
        <v>146</v>
      </c>
      <c r="S5" s="388" t="s">
        <v>147</v>
      </c>
      <c r="T5" s="388" t="s">
        <v>148</v>
      </c>
      <c r="U5" s="388" t="s">
        <v>149</v>
      </c>
      <c r="V5" s="388" t="s">
        <v>150</v>
      </c>
      <c r="W5" s="388" t="s">
        <v>151</v>
      </c>
      <c r="X5" s="388" t="s">
        <v>152</v>
      </c>
      <c r="Y5" s="388" t="s">
        <v>153</v>
      </c>
      <c r="Z5" s="388" t="s">
        <v>154</v>
      </c>
      <c r="AA5" s="388" t="s">
        <v>155</v>
      </c>
    </row>
    <row r="6" spans="1:27">
      <c r="A6" s="422" t="s">
        <v>165</v>
      </c>
      <c r="B6" s="423">
        <v>16859</v>
      </c>
      <c r="C6" s="423">
        <f>B6*12</f>
        <v>202308</v>
      </c>
      <c r="D6" s="423">
        <f>C6*(1+$B$2)</f>
        <v>216307.71359999999</v>
      </c>
      <c r="E6" s="423">
        <f t="shared" ref="E6:AA18" si="0">D6*(1+$B$2)</f>
        <v>231276.20738111998</v>
      </c>
      <c r="F6" s="423">
        <f t="shared" si="0"/>
        <v>247280.52093189346</v>
      </c>
      <c r="G6" s="423">
        <f t="shared" si="0"/>
        <v>264392.33298038045</v>
      </c>
      <c r="H6" s="423">
        <f t="shared" si="0"/>
        <v>282688.28242262278</v>
      </c>
      <c r="I6" s="423">
        <f t="shared" si="0"/>
        <v>302250.31156626827</v>
      </c>
      <c r="J6" s="423">
        <f t="shared" si="0"/>
        <v>323166.03312665399</v>
      </c>
      <c r="K6" s="423">
        <f t="shared" si="0"/>
        <v>345529.12261901842</v>
      </c>
      <c r="L6" s="423">
        <f t="shared" si="0"/>
        <v>369439.73790425446</v>
      </c>
      <c r="M6" s="423">
        <f t="shared" si="0"/>
        <v>395004.96776722884</v>
      </c>
      <c r="N6" s="423">
        <f t="shared" si="0"/>
        <v>422339.31153672107</v>
      </c>
      <c r="O6" s="423">
        <f t="shared" si="0"/>
        <v>451565.19189506216</v>
      </c>
      <c r="P6" s="423">
        <f t="shared" si="0"/>
        <v>482813.50317420042</v>
      </c>
      <c r="Q6" s="423">
        <f t="shared" si="0"/>
        <v>516224.19759385503</v>
      </c>
      <c r="R6" s="423">
        <f t="shared" si="0"/>
        <v>551946.91206734977</v>
      </c>
      <c r="S6" s="423">
        <f t="shared" si="0"/>
        <v>590141.63838241028</v>
      </c>
      <c r="T6" s="423">
        <f t="shared" si="0"/>
        <v>630979.43975847308</v>
      </c>
      <c r="U6" s="423">
        <f t="shared" si="0"/>
        <v>674643.21698975936</v>
      </c>
      <c r="V6" s="423">
        <f t="shared" si="0"/>
        <v>721328.52760545071</v>
      </c>
      <c r="W6" s="423">
        <f t="shared" si="0"/>
        <v>771244.46171574784</v>
      </c>
      <c r="X6" s="423">
        <f t="shared" si="0"/>
        <v>824614.57846647757</v>
      </c>
      <c r="Y6" s="423">
        <f t="shared" si="0"/>
        <v>881677.90729635779</v>
      </c>
      <c r="Z6" s="423">
        <f t="shared" si="0"/>
        <v>942690.01848126564</v>
      </c>
      <c r="AA6" s="423">
        <f t="shared" si="0"/>
        <v>1007924.1677601691</v>
      </c>
    </row>
    <row r="7" spans="1:27">
      <c r="A7" s="422" t="s">
        <v>166</v>
      </c>
      <c r="B7" s="423">
        <v>1496.88</v>
      </c>
      <c r="C7" s="423">
        <f t="shared" ref="C7:C18" si="1">B7*12</f>
        <v>17962.560000000001</v>
      </c>
      <c r="D7" s="423">
        <f t="shared" ref="D7:S18" si="2">C7*(1+$B$2)</f>
        <v>19205.569152</v>
      </c>
      <c r="E7" s="423">
        <f t="shared" si="2"/>
        <v>20534.5945373184</v>
      </c>
      <c r="F7" s="423">
        <f t="shared" si="2"/>
        <v>21955.588479300834</v>
      </c>
      <c r="G7" s="423">
        <f t="shared" si="2"/>
        <v>23474.915202068449</v>
      </c>
      <c r="H7" s="423">
        <f t="shared" si="2"/>
        <v>25099.379334051584</v>
      </c>
      <c r="I7" s="423">
        <f t="shared" si="2"/>
        <v>26836.256383967953</v>
      </c>
      <c r="J7" s="423">
        <f t="shared" si="2"/>
        <v>28693.325325738533</v>
      </c>
      <c r="K7" s="423">
        <f t="shared" si="2"/>
        <v>30678.903438279638</v>
      </c>
      <c r="L7" s="423">
        <f t="shared" si="2"/>
        <v>32801.883556208588</v>
      </c>
      <c r="M7" s="423">
        <f t="shared" si="2"/>
        <v>35071.773898298219</v>
      </c>
      <c r="N7" s="423">
        <f t="shared" si="2"/>
        <v>37498.740652060456</v>
      </c>
      <c r="O7" s="423">
        <f t="shared" si="2"/>
        <v>40093.653505183036</v>
      </c>
      <c r="P7" s="423">
        <f t="shared" si="2"/>
        <v>42868.134327741696</v>
      </c>
      <c r="Q7" s="423">
        <f t="shared" si="2"/>
        <v>45834.609223221421</v>
      </c>
      <c r="R7" s="423">
        <f t="shared" si="2"/>
        <v>49006.364181468343</v>
      </c>
      <c r="S7" s="423">
        <f t="shared" si="2"/>
        <v>52397.604582825952</v>
      </c>
      <c r="T7" s="423">
        <f t="shared" si="0"/>
        <v>56023.518819957506</v>
      </c>
      <c r="U7" s="423">
        <f t="shared" si="0"/>
        <v>59900.346322298559</v>
      </c>
      <c r="V7" s="423">
        <f t="shared" si="0"/>
        <v>64045.450287801614</v>
      </c>
      <c r="W7" s="423">
        <f t="shared" si="0"/>
        <v>68477.395447717485</v>
      </c>
      <c r="X7" s="423">
        <f t="shared" si="0"/>
        <v>73216.031212699527</v>
      </c>
      <c r="Y7" s="423">
        <f t="shared" si="0"/>
        <v>78282.580572618332</v>
      </c>
      <c r="Z7" s="423">
        <f t="shared" si="0"/>
        <v>83699.735148243519</v>
      </c>
      <c r="AA7" s="423">
        <f t="shared" si="0"/>
        <v>89491.756820501963</v>
      </c>
    </row>
    <row r="8" spans="1:27">
      <c r="A8" s="422" t="s">
        <v>167</v>
      </c>
      <c r="B8" s="423">
        <v>694.98</v>
      </c>
      <c r="C8" s="423">
        <f t="shared" si="1"/>
        <v>8339.76</v>
      </c>
      <c r="D8" s="423">
        <f t="shared" si="2"/>
        <v>8916.8713919999991</v>
      </c>
      <c r="E8" s="423">
        <f t="shared" si="0"/>
        <v>9533.9188923263991</v>
      </c>
      <c r="F8" s="423">
        <f t="shared" si="0"/>
        <v>10193.666079675386</v>
      </c>
      <c r="G8" s="423">
        <f t="shared" si="0"/>
        <v>10899.067772388922</v>
      </c>
      <c r="H8" s="423">
        <f t="shared" si="0"/>
        <v>11653.283262238234</v>
      </c>
      <c r="I8" s="423">
        <f t="shared" si="0"/>
        <v>12459.690463985118</v>
      </c>
      <c r="J8" s="423">
        <f t="shared" si="0"/>
        <v>13321.901044092887</v>
      </c>
      <c r="K8" s="423">
        <f t="shared" si="0"/>
        <v>14243.776596344114</v>
      </c>
      <c r="L8" s="423">
        <f t="shared" si="0"/>
        <v>15229.445936811126</v>
      </c>
      <c r="M8" s="423">
        <f t="shared" si="0"/>
        <v>16283.323595638454</v>
      </c>
      <c r="N8" s="423">
        <f t="shared" si="0"/>
        <v>17410.129588456635</v>
      </c>
      <c r="O8" s="423">
        <f t="shared" si="0"/>
        <v>18614.910555977833</v>
      </c>
      <c r="P8" s="423">
        <f t="shared" si="0"/>
        <v>19903.062366451497</v>
      </c>
      <c r="Q8" s="423">
        <f t="shared" si="0"/>
        <v>21280.354282209941</v>
      </c>
      <c r="R8" s="423">
        <f t="shared" si="0"/>
        <v>22752.954798538867</v>
      </c>
      <c r="S8" s="423">
        <f t="shared" si="0"/>
        <v>24327.459270597756</v>
      </c>
      <c r="T8" s="423">
        <f t="shared" si="0"/>
        <v>26010.919452123118</v>
      </c>
      <c r="U8" s="423">
        <f t="shared" si="0"/>
        <v>27810.875078210036</v>
      </c>
      <c r="V8" s="423">
        <f t="shared" si="0"/>
        <v>29735.387633622169</v>
      </c>
      <c r="W8" s="423">
        <f t="shared" si="0"/>
        <v>31793.076457868821</v>
      </c>
      <c r="X8" s="423">
        <f t="shared" si="0"/>
        <v>33993.157348753339</v>
      </c>
      <c r="Y8" s="423">
        <f t="shared" si="0"/>
        <v>36345.483837287065</v>
      </c>
      <c r="Z8" s="423">
        <f t="shared" si="0"/>
        <v>38860.591318827326</v>
      </c>
      <c r="AA8" s="423">
        <f t="shared" si="0"/>
        <v>41549.744238090178</v>
      </c>
    </row>
    <row r="9" spans="1:27">
      <c r="A9" s="422" t="s">
        <v>684</v>
      </c>
      <c r="B9" s="423">
        <v>1506.92</v>
      </c>
      <c r="C9" s="423">
        <f t="shared" si="1"/>
        <v>18083.04</v>
      </c>
      <c r="D9" s="423">
        <f t="shared" si="2"/>
        <v>19334.386367999999</v>
      </c>
      <c r="E9" s="423">
        <f t="shared" si="0"/>
        <v>20672.325904665599</v>
      </c>
      <c r="F9" s="423">
        <f t="shared" si="0"/>
        <v>22102.850857268455</v>
      </c>
      <c r="G9" s="423">
        <f t="shared" si="0"/>
        <v>23632.368136591431</v>
      </c>
      <c r="H9" s="423">
        <f t="shared" si="0"/>
        <v>25267.728011643558</v>
      </c>
      <c r="I9" s="423">
        <f t="shared" si="0"/>
        <v>27016.25479004929</v>
      </c>
      <c r="J9" s="423">
        <f t="shared" si="0"/>
        <v>28885.779621520698</v>
      </c>
      <c r="K9" s="423">
        <f t="shared" si="0"/>
        <v>30884.675571329928</v>
      </c>
      <c r="L9" s="423">
        <f t="shared" si="0"/>
        <v>33021.895120865956</v>
      </c>
      <c r="M9" s="423">
        <f t="shared" si="0"/>
        <v>35307.01026322988</v>
      </c>
      <c r="N9" s="423">
        <f t="shared" si="0"/>
        <v>37750.255373445383</v>
      </c>
      <c r="O9" s="423">
        <f t="shared" si="0"/>
        <v>40362.573045287798</v>
      </c>
      <c r="P9" s="423">
        <f t="shared" si="0"/>
        <v>43155.663100021709</v>
      </c>
      <c r="Q9" s="423">
        <f t="shared" si="0"/>
        <v>46142.034986543207</v>
      </c>
      <c r="R9" s="423">
        <f t="shared" si="0"/>
        <v>49335.063807611994</v>
      </c>
      <c r="S9" s="423">
        <f t="shared" si="0"/>
        <v>52749.05022309874</v>
      </c>
      <c r="T9" s="423">
        <f t="shared" si="0"/>
        <v>56399.28449853717</v>
      </c>
      <c r="U9" s="423">
        <f t="shared" si="0"/>
        <v>60302.114985835935</v>
      </c>
      <c r="V9" s="423">
        <f t="shared" si="0"/>
        <v>64475.021342855776</v>
      </c>
      <c r="W9" s="423">
        <f t="shared" si="0"/>
        <v>68936.692819781398</v>
      </c>
      <c r="X9" s="423">
        <f t="shared" si="0"/>
        <v>73707.111962910261</v>
      </c>
      <c r="Y9" s="423">
        <f t="shared" si="0"/>
        <v>78807.64411074364</v>
      </c>
      <c r="Z9" s="423">
        <f t="shared" si="0"/>
        <v>84261.133083207096</v>
      </c>
      <c r="AA9" s="423">
        <f t="shared" si="0"/>
        <v>90092.003492565025</v>
      </c>
    </row>
    <row r="10" spans="1:27">
      <c r="A10" s="424" t="s">
        <v>168</v>
      </c>
      <c r="B10" s="423">
        <v>3106.92</v>
      </c>
      <c r="C10" s="423">
        <f t="shared" si="1"/>
        <v>37283.040000000001</v>
      </c>
      <c r="D10" s="423">
        <f t="shared" si="2"/>
        <v>39863.026367999999</v>
      </c>
      <c r="E10" s="423">
        <f t="shared" si="0"/>
        <v>42621.547792665595</v>
      </c>
      <c r="F10" s="423">
        <f t="shared" si="0"/>
        <v>45570.958899918049</v>
      </c>
      <c r="G10" s="423">
        <f t="shared" si="0"/>
        <v>48724.469255792377</v>
      </c>
      <c r="H10" s="423">
        <f t="shared" si="0"/>
        <v>52096.202528293208</v>
      </c>
      <c r="I10" s="423">
        <f t="shared" si="0"/>
        <v>55701.259743251096</v>
      </c>
      <c r="J10" s="423">
        <f t="shared" si="0"/>
        <v>59555.786917484067</v>
      </c>
      <c r="K10" s="423">
        <f t="shared" si="0"/>
        <v>63677.047372173962</v>
      </c>
      <c r="L10" s="423">
        <f t="shared" si="0"/>
        <v>68083.499050328392</v>
      </c>
      <c r="M10" s="423">
        <f t="shared" si="0"/>
        <v>72794.877184611105</v>
      </c>
      <c r="N10" s="423">
        <f t="shared" si="0"/>
        <v>77832.282685786195</v>
      </c>
      <c r="O10" s="423">
        <f t="shared" si="0"/>
        <v>83218.27664764259</v>
      </c>
      <c r="P10" s="423">
        <f t="shared" si="0"/>
        <v>88976.981391659458</v>
      </c>
      <c r="Q10" s="423">
        <f t="shared" si="0"/>
        <v>95134.188503962287</v>
      </c>
      <c r="R10" s="423">
        <f t="shared" si="0"/>
        <v>101717.47434843647</v>
      </c>
      <c r="S10" s="423">
        <f t="shared" si="0"/>
        <v>108756.32357334827</v>
      </c>
      <c r="T10" s="423">
        <f t="shared" si="0"/>
        <v>116282.26116462397</v>
      </c>
      <c r="U10" s="423">
        <f t="shared" si="0"/>
        <v>124328.99363721594</v>
      </c>
      <c r="V10" s="423">
        <f t="shared" si="0"/>
        <v>132932.55999691127</v>
      </c>
      <c r="W10" s="423">
        <f t="shared" si="0"/>
        <v>142131.49314869751</v>
      </c>
      <c r="X10" s="423">
        <f t="shared" si="0"/>
        <v>151966.99247458737</v>
      </c>
      <c r="Y10" s="423">
        <f t="shared" si="0"/>
        <v>162483.10835382881</v>
      </c>
      <c r="Z10" s="423">
        <f t="shared" si="0"/>
        <v>173726.93945191376</v>
      </c>
      <c r="AA10" s="423">
        <f t="shared" si="0"/>
        <v>185748.84366198617</v>
      </c>
    </row>
    <row r="11" spans="1:27">
      <c r="A11" s="422" t="s">
        <v>169</v>
      </c>
      <c r="B11" s="423">
        <v>2134.12</v>
      </c>
      <c r="C11" s="423">
        <f t="shared" si="1"/>
        <v>25609.439999999999</v>
      </c>
      <c r="D11" s="423">
        <f t="shared" si="2"/>
        <v>27381.613247999998</v>
      </c>
      <c r="E11" s="423">
        <f t="shared" si="0"/>
        <v>29276.420884761596</v>
      </c>
      <c r="F11" s="423">
        <f t="shared" si="0"/>
        <v>31302.349209987096</v>
      </c>
      <c r="G11" s="423">
        <f t="shared" si="0"/>
        <v>33468.471775318198</v>
      </c>
      <c r="H11" s="423">
        <f t="shared" si="0"/>
        <v>35784.490022170212</v>
      </c>
      <c r="I11" s="423">
        <f t="shared" si="0"/>
        <v>38260.776731704391</v>
      </c>
      <c r="J11" s="423">
        <f t="shared" si="0"/>
        <v>40908.422481538335</v>
      </c>
      <c r="K11" s="423">
        <f t="shared" si="0"/>
        <v>43739.285317260787</v>
      </c>
      <c r="L11" s="423">
        <f t="shared" si="0"/>
        <v>46766.043861215228</v>
      </c>
      <c r="M11" s="423">
        <f t="shared" si="0"/>
        <v>50002.254096411321</v>
      </c>
      <c r="N11" s="423">
        <f t="shared" si="0"/>
        <v>53462.410079882982</v>
      </c>
      <c r="O11" s="423">
        <f t="shared" si="0"/>
        <v>57162.008857410881</v>
      </c>
      <c r="P11" s="423">
        <f t="shared" si="0"/>
        <v>61117.619870343711</v>
      </c>
      <c r="Q11" s="423">
        <f t="shared" si="0"/>
        <v>65346.959165371489</v>
      </c>
      <c r="R11" s="423">
        <f t="shared" si="0"/>
        <v>69868.968739615186</v>
      </c>
      <c r="S11" s="423">
        <f t="shared" si="0"/>
        <v>74703.901376396549</v>
      </c>
      <c r="T11" s="423">
        <f t="shared" si="0"/>
        <v>79873.411351643183</v>
      </c>
      <c r="U11" s="423">
        <f t="shared" si="0"/>
        <v>85400.651417176879</v>
      </c>
      <c r="V11" s="423">
        <f t="shared" si="0"/>
        <v>91310.376495245509</v>
      </c>
      <c r="W11" s="423">
        <f t="shared" si="0"/>
        <v>97629.054548716493</v>
      </c>
      <c r="X11" s="423">
        <f t="shared" si="0"/>
        <v>104384.98512348767</v>
      </c>
      <c r="Y11" s="423">
        <f t="shared" si="0"/>
        <v>111608.42609403301</v>
      </c>
      <c r="Z11" s="423">
        <f t="shared" si="0"/>
        <v>119331.72917974008</v>
      </c>
      <c r="AA11" s="423">
        <f t="shared" si="0"/>
        <v>127589.48483897808</v>
      </c>
    </row>
    <row r="12" spans="1:27">
      <c r="A12" s="422" t="s">
        <v>170</v>
      </c>
      <c r="B12" s="423">
        <v>2673</v>
      </c>
      <c r="C12" s="423">
        <f t="shared" si="1"/>
        <v>32076</v>
      </c>
      <c r="D12" s="423">
        <f t="shared" si="2"/>
        <v>34295.659199999995</v>
      </c>
      <c r="E12" s="423">
        <f t="shared" si="0"/>
        <v>36668.918816639991</v>
      </c>
      <c r="F12" s="423">
        <f t="shared" si="0"/>
        <v>39206.407998751478</v>
      </c>
      <c r="G12" s="423">
        <f t="shared" si="0"/>
        <v>41919.49143226508</v>
      </c>
      <c r="H12" s="423">
        <f t="shared" si="0"/>
        <v>44820.320239377819</v>
      </c>
      <c r="I12" s="423">
        <f t="shared" si="0"/>
        <v>47921.886399942763</v>
      </c>
      <c r="J12" s="423">
        <f t="shared" si="0"/>
        <v>51238.080938818799</v>
      </c>
      <c r="K12" s="423">
        <f t="shared" si="0"/>
        <v>54783.756139785059</v>
      </c>
      <c r="L12" s="423">
        <f t="shared" si="0"/>
        <v>58574.792064658184</v>
      </c>
      <c r="M12" s="423">
        <f t="shared" si="0"/>
        <v>62628.167675532524</v>
      </c>
      <c r="N12" s="423">
        <f t="shared" si="0"/>
        <v>66962.03687867937</v>
      </c>
      <c r="O12" s="423">
        <f t="shared" si="0"/>
        <v>71595.809830683982</v>
      </c>
      <c r="P12" s="423">
        <f t="shared" si="0"/>
        <v>76550.239870967314</v>
      </c>
      <c r="Q12" s="423">
        <f t="shared" si="0"/>
        <v>81847.516470038245</v>
      </c>
      <c r="R12" s="423">
        <f t="shared" si="0"/>
        <v>87511.364609764889</v>
      </c>
      <c r="S12" s="423">
        <f t="shared" si="0"/>
        <v>93567.151040760611</v>
      </c>
      <c r="T12" s="423">
        <f t="shared" si="0"/>
        <v>100041.99789278123</v>
      </c>
      <c r="U12" s="423">
        <f t="shared" si="0"/>
        <v>106964.90414696169</v>
      </c>
      <c r="V12" s="423">
        <f t="shared" si="0"/>
        <v>114366.87551393143</v>
      </c>
      <c r="W12" s="423">
        <f t="shared" si="0"/>
        <v>122281.06329949548</v>
      </c>
      <c r="X12" s="423">
        <f t="shared" si="0"/>
        <v>130742.91287982056</v>
      </c>
      <c r="Y12" s="423">
        <f t="shared" si="0"/>
        <v>139790.32245110415</v>
      </c>
      <c r="Z12" s="423">
        <f t="shared" si="0"/>
        <v>149463.81276472055</v>
      </c>
      <c r="AA12" s="423">
        <f t="shared" si="0"/>
        <v>159806.70860803922</v>
      </c>
    </row>
    <row r="13" spans="1:27">
      <c r="A13" s="422" t="s">
        <v>171</v>
      </c>
      <c r="B13" s="423">
        <v>250</v>
      </c>
      <c r="C13" s="423">
        <f t="shared" si="1"/>
        <v>3000</v>
      </c>
      <c r="D13" s="423">
        <f t="shared" si="2"/>
        <v>3207.6</v>
      </c>
      <c r="E13" s="423">
        <f t="shared" si="0"/>
        <v>3429.5659199999996</v>
      </c>
      <c r="F13" s="423">
        <f t="shared" si="0"/>
        <v>3666.8918816639994</v>
      </c>
      <c r="G13" s="423">
        <f t="shared" si="0"/>
        <v>3920.6407998751479</v>
      </c>
      <c r="H13" s="423">
        <f t="shared" si="0"/>
        <v>4191.9491432265077</v>
      </c>
      <c r="I13" s="423">
        <f t="shared" si="0"/>
        <v>4482.0320239377816</v>
      </c>
      <c r="J13" s="423">
        <f t="shared" si="0"/>
        <v>4792.1886399942759</v>
      </c>
      <c r="K13" s="423">
        <f t="shared" si="0"/>
        <v>5123.8080938818794</v>
      </c>
      <c r="L13" s="423">
        <f t="shared" si="0"/>
        <v>5478.3756139785046</v>
      </c>
      <c r="M13" s="423">
        <f t="shared" si="0"/>
        <v>5857.4792064658168</v>
      </c>
      <c r="N13" s="423">
        <f t="shared" si="0"/>
        <v>6262.8167675532513</v>
      </c>
      <c r="O13" s="423">
        <f t="shared" si="0"/>
        <v>6696.2036878679355</v>
      </c>
      <c r="P13" s="423">
        <f t="shared" si="0"/>
        <v>7159.5809830683966</v>
      </c>
      <c r="Q13" s="423">
        <f t="shared" si="0"/>
        <v>7655.0239870967289</v>
      </c>
      <c r="R13" s="423">
        <f t="shared" si="0"/>
        <v>8184.7516470038217</v>
      </c>
      <c r="S13" s="423">
        <f t="shared" si="0"/>
        <v>8751.136460976486</v>
      </c>
      <c r="T13" s="423">
        <f t="shared" si="0"/>
        <v>9356.7151040760582</v>
      </c>
      <c r="U13" s="423">
        <f t="shared" si="0"/>
        <v>10004.19978927812</v>
      </c>
      <c r="V13" s="423">
        <f t="shared" si="0"/>
        <v>10696.490414696165</v>
      </c>
      <c r="W13" s="423">
        <f t="shared" si="0"/>
        <v>11436.687551393139</v>
      </c>
      <c r="X13" s="423">
        <f t="shared" si="0"/>
        <v>12228.106329949544</v>
      </c>
      <c r="Y13" s="423">
        <f t="shared" si="0"/>
        <v>13074.291287982051</v>
      </c>
      <c r="Z13" s="423">
        <f t="shared" si="0"/>
        <v>13979.032245110408</v>
      </c>
      <c r="AA13" s="423">
        <f t="shared" si="0"/>
        <v>14946.381276472046</v>
      </c>
    </row>
    <row r="14" spans="1:27">
      <c r="A14" s="14" t="s">
        <v>759</v>
      </c>
      <c r="B14" s="423">
        <v>3207.6</v>
      </c>
      <c r="C14" s="423">
        <f t="shared" si="1"/>
        <v>38491.199999999997</v>
      </c>
      <c r="D14" s="423">
        <f t="shared" si="2"/>
        <v>41154.791039999996</v>
      </c>
      <c r="E14" s="423">
        <f t="shared" si="0"/>
        <v>44002.70257996799</v>
      </c>
      <c r="F14" s="423">
        <f t="shared" si="0"/>
        <v>47047.689598501769</v>
      </c>
      <c r="G14" s="423">
        <f t="shared" si="0"/>
        <v>50303.389718718085</v>
      </c>
      <c r="H14" s="423">
        <f t="shared" si="0"/>
        <v>53784.384287253371</v>
      </c>
      <c r="I14" s="423">
        <f t="shared" si="0"/>
        <v>57506.263679931304</v>
      </c>
      <c r="J14" s="423">
        <f t="shared" si="0"/>
        <v>61485.697126582549</v>
      </c>
      <c r="K14" s="423">
        <f t="shared" si="0"/>
        <v>65740.507367742059</v>
      </c>
      <c r="L14" s="423">
        <f t="shared" si="0"/>
        <v>70289.750477589798</v>
      </c>
      <c r="M14" s="423">
        <f t="shared" si="0"/>
        <v>75153.801210639009</v>
      </c>
      <c r="N14" s="423">
        <f t="shared" si="0"/>
        <v>80354.444254415226</v>
      </c>
      <c r="O14" s="423">
        <f t="shared" si="0"/>
        <v>85914.971796820755</v>
      </c>
      <c r="P14" s="423">
        <f t="shared" si="0"/>
        <v>91860.287845160739</v>
      </c>
      <c r="Q14" s="423">
        <f t="shared" si="0"/>
        <v>98217.01976404585</v>
      </c>
      <c r="R14" s="423">
        <f t="shared" si="0"/>
        <v>105013.63753171782</v>
      </c>
      <c r="S14" s="423">
        <f t="shared" si="0"/>
        <v>112280.58124891268</v>
      </c>
      <c r="T14" s="423">
        <f t="shared" si="0"/>
        <v>120050.39747133743</v>
      </c>
      <c r="U14" s="423">
        <f t="shared" si="0"/>
        <v>128357.88497635398</v>
      </c>
      <c r="V14" s="423">
        <f t="shared" si="0"/>
        <v>137240.25061671768</v>
      </c>
      <c r="W14" s="423">
        <f t="shared" si="0"/>
        <v>146737.27595939452</v>
      </c>
      <c r="X14" s="423">
        <f t="shared" si="0"/>
        <v>156891.49545578461</v>
      </c>
      <c r="Y14" s="423">
        <f t="shared" si="0"/>
        <v>167748.38694132489</v>
      </c>
      <c r="Z14" s="423">
        <f t="shared" si="0"/>
        <v>179356.57531766457</v>
      </c>
      <c r="AA14" s="423">
        <f t="shared" si="0"/>
        <v>191768.05032964694</v>
      </c>
    </row>
    <row r="15" spans="1:27" s="39" customFormat="1">
      <c r="A15" s="14" t="s">
        <v>760</v>
      </c>
      <c r="B15" s="423">
        <v>1940.98</v>
      </c>
      <c r="C15" s="423">
        <f t="shared" ref="C15" si="3">B15*12</f>
        <v>23291.760000000002</v>
      </c>
      <c r="D15" s="423">
        <f t="shared" ref="D15" si="4">C15*(1+$B$2)</f>
        <v>24903.549792000002</v>
      </c>
      <c r="E15" s="423">
        <f t="shared" ref="E15" si="5">D15*(1+$B$2)</f>
        <v>26626.875437606399</v>
      </c>
      <c r="F15" s="423">
        <f t="shared" ref="F15" si="6">E15*(1+$B$2)</f>
        <v>28469.455217888761</v>
      </c>
      <c r="G15" s="423">
        <f t="shared" ref="G15" si="7">F15*(1+$B$2)</f>
        <v>30439.54151896666</v>
      </c>
      <c r="H15" s="423">
        <f t="shared" ref="H15" si="8">G15*(1+$B$2)</f>
        <v>32545.957792079153</v>
      </c>
      <c r="I15" s="423">
        <f t="shared" ref="I15" si="9">H15*(1+$B$2)</f>
        <v>34798.138071291025</v>
      </c>
      <c r="J15" s="423">
        <f t="shared" ref="J15" si="10">I15*(1+$B$2)</f>
        <v>37206.169225824364</v>
      </c>
      <c r="K15" s="423">
        <f t="shared" ref="K15" si="11">J15*(1+$B$2)</f>
        <v>39780.836136251404</v>
      </c>
      <c r="L15" s="423">
        <f t="shared" ref="L15" si="12">K15*(1+$B$2)</f>
        <v>42533.669996880002</v>
      </c>
      <c r="M15" s="423">
        <f t="shared" ref="M15" si="13">L15*(1+$B$2)</f>
        <v>45476.999960664092</v>
      </c>
      <c r="N15" s="423">
        <f t="shared" ref="N15" si="14">M15*(1+$B$2)</f>
        <v>48624.008357942046</v>
      </c>
      <c r="O15" s="423">
        <f t="shared" ref="O15" si="15">N15*(1+$B$2)</f>
        <v>51988.789736311635</v>
      </c>
      <c r="P15" s="423">
        <f t="shared" ref="P15" si="16">O15*(1+$B$2)</f>
        <v>55586.413986064399</v>
      </c>
      <c r="Q15" s="423">
        <f t="shared" ref="Q15" si="17">P15*(1+$B$2)</f>
        <v>59432.993833900051</v>
      </c>
      <c r="R15" s="423">
        <f t="shared" ref="R15" si="18">Q15*(1+$B$2)</f>
        <v>63545.757007205932</v>
      </c>
      <c r="S15" s="423">
        <f t="shared" ref="S15" si="19">R15*(1+$B$2)</f>
        <v>67943.123392104579</v>
      </c>
      <c r="T15" s="423">
        <f t="shared" ref="T15" si="20">S15*(1+$B$2)</f>
        <v>72644.787530838206</v>
      </c>
      <c r="U15" s="423">
        <f t="shared" ref="U15" si="21">T15*(1+$B$2)</f>
        <v>77671.806827972207</v>
      </c>
      <c r="V15" s="423">
        <f t="shared" ref="V15" si="22">U15*(1+$B$2)</f>
        <v>83046.69586046788</v>
      </c>
      <c r="W15" s="423">
        <f t="shared" ref="W15" si="23">V15*(1+$B$2)</f>
        <v>88793.527214012254</v>
      </c>
      <c r="X15" s="423">
        <f t="shared" ref="X15" si="24">W15*(1+$B$2)</f>
        <v>94938.039297221898</v>
      </c>
      <c r="Y15" s="423">
        <f t="shared" ref="Y15" si="25">X15*(1+$B$2)</f>
        <v>101507.75161658965</v>
      </c>
      <c r="Z15" s="423">
        <f t="shared" ref="Z15" si="26">Y15*(1+$B$2)</f>
        <v>108532.08802845766</v>
      </c>
      <c r="AA15" s="423">
        <f t="shared" ref="AA15" si="27">Z15*(1+$B$2)</f>
        <v>116042.50852002692</v>
      </c>
    </row>
    <row r="16" spans="1:27" s="39" customFormat="1">
      <c r="A16" s="425" t="s">
        <v>761</v>
      </c>
      <c r="B16" s="426">
        <v>0</v>
      </c>
      <c r="C16" s="423">
        <f t="shared" ref="C16" si="28">B16*12</f>
        <v>0</v>
      </c>
      <c r="D16" s="423">
        <f t="shared" ref="D16" si="29">C16*(1+$B$2)</f>
        <v>0</v>
      </c>
      <c r="E16" s="423">
        <f t="shared" ref="E16" si="30">D16*(1+$B$2)</f>
        <v>0</v>
      </c>
      <c r="F16" s="423">
        <f t="shared" ref="F16" si="31">E16*(1+$B$2)</f>
        <v>0</v>
      </c>
      <c r="G16" s="423">
        <f t="shared" ref="G16" si="32">F16*(1+$B$2)</f>
        <v>0</v>
      </c>
      <c r="H16" s="423">
        <f t="shared" ref="H16" si="33">G16*(1+$B$2)</f>
        <v>0</v>
      </c>
      <c r="I16" s="423">
        <f t="shared" ref="I16" si="34">H16*(1+$B$2)</f>
        <v>0</v>
      </c>
      <c r="J16" s="423">
        <f t="shared" ref="J16" si="35">I16*(1+$B$2)</f>
        <v>0</v>
      </c>
      <c r="K16" s="423">
        <f t="shared" ref="K16" si="36">J16*(1+$B$2)</f>
        <v>0</v>
      </c>
      <c r="L16" s="423">
        <f t="shared" ref="L16" si="37">K16*(1+$B$2)</f>
        <v>0</v>
      </c>
      <c r="M16" s="423">
        <f t="shared" ref="M16" si="38">L16*(1+$B$2)</f>
        <v>0</v>
      </c>
      <c r="N16" s="423">
        <f t="shared" ref="N16" si="39">M16*(1+$B$2)</f>
        <v>0</v>
      </c>
      <c r="O16" s="423">
        <f t="shared" ref="O16" si="40">N16*(1+$B$2)</f>
        <v>0</v>
      </c>
      <c r="P16" s="423">
        <f t="shared" ref="P16" si="41">O16*(1+$B$2)</f>
        <v>0</v>
      </c>
      <c r="Q16" s="423">
        <f t="shared" ref="Q16" si="42">P16*(1+$B$2)</f>
        <v>0</v>
      </c>
      <c r="R16" s="423">
        <f t="shared" ref="R16" si="43">Q16*(1+$B$2)</f>
        <v>0</v>
      </c>
      <c r="S16" s="423">
        <f t="shared" ref="S16" si="44">R16*(1+$B$2)</f>
        <v>0</v>
      </c>
      <c r="T16" s="423">
        <f t="shared" ref="T16" si="45">S16*(1+$B$2)</f>
        <v>0</v>
      </c>
      <c r="U16" s="423">
        <f t="shared" ref="U16" si="46">T16*(1+$B$2)</f>
        <v>0</v>
      </c>
      <c r="V16" s="423">
        <f t="shared" ref="V16" si="47">U16*(1+$B$2)</f>
        <v>0</v>
      </c>
      <c r="W16" s="423">
        <f t="shared" ref="W16" si="48">V16*(1+$B$2)</f>
        <v>0</v>
      </c>
      <c r="X16" s="423">
        <f t="shared" ref="X16" si="49">W16*(1+$B$2)</f>
        <v>0</v>
      </c>
      <c r="Y16" s="423">
        <f t="shared" ref="Y16" si="50">X16*(1+$B$2)</f>
        <v>0</v>
      </c>
      <c r="Z16" s="423">
        <f t="shared" ref="Z16" si="51">Y16*(1+$B$2)</f>
        <v>0</v>
      </c>
      <c r="AA16" s="423">
        <f t="shared" ref="AA16" si="52">Z16*(1+$B$2)</f>
        <v>0</v>
      </c>
    </row>
    <row r="17" spans="1:27">
      <c r="A17" s="422" t="s">
        <v>162</v>
      </c>
      <c r="B17" s="423">
        <v>2000</v>
      </c>
      <c r="C17" s="423">
        <f t="shared" si="1"/>
        <v>24000</v>
      </c>
      <c r="D17" s="423">
        <f t="shared" si="2"/>
        <v>25660.799999999999</v>
      </c>
      <c r="E17" s="423">
        <f t="shared" si="0"/>
        <v>27436.527359999996</v>
      </c>
      <c r="F17" s="423">
        <f t="shared" si="0"/>
        <v>29335.135053311995</v>
      </c>
      <c r="G17" s="423">
        <f t="shared" si="0"/>
        <v>31365.126399001183</v>
      </c>
      <c r="H17" s="423">
        <f t="shared" si="0"/>
        <v>33535.593145812061</v>
      </c>
      <c r="I17" s="423">
        <f t="shared" si="0"/>
        <v>35856.256191502252</v>
      </c>
      <c r="J17" s="423">
        <f t="shared" si="0"/>
        <v>38337.509119954208</v>
      </c>
      <c r="K17" s="423">
        <f t="shared" si="0"/>
        <v>40990.464751055035</v>
      </c>
      <c r="L17" s="423">
        <f t="shared" si="0"/>
        <v>43827.004911828037</v>
      </c>
      <c r="M17" s="423">
        <f t="shared" si="0"/>
        <v>46859.833651726534</v>
      </c>
      <c r="N17" s="423">
        <f t="shared" si="0"/>
        <v>50102.534140426011</v>
      </c>
      <c r="O17" s="423">
        <f t="shared" si="0"/>
        <v>53569.629502943484</v>
      </c>
      <c r="P17" s="423">
        <f t="shared" si="0"/>
        <v>57276.647864547173</v>
      </c>
      <c r="Q17" s="423">
        <f t="shared" si="0"/>
        <v>61240.191896773831</v>
      </c>
      <c r="R17" s="423">
        <f t="shared" si="0"/>
        <v>65478.013176030574</v>
      </c>
      <c r="S17" s="423">
        <f t="shared" si="0"/>
        <v>70009.091687811888</v>
      </c>
      <c r="T17" s="423">
        <f t="shared" si="0"/>
        <v>74853.720832608466</v>
      </c>
      <c r="U17" s="423">
        <f t="shared" si="0"/>
        <v>80033.598314224961</v>
      </c>
      <c r="V17" s="423">
        <f t="shared" si="0"/>
        <v>85571.923317569323</v>
      </c>
      <c r="W17" s="423">
        <f t="shared" si="0"/>
        <v>91493.500411145113</v>
      </c>
      <c r="X17" s="423">
        <f t="shared" si="0"/>
        <v>97824.850639596349</v>
      </c>
      <c r="Y17" s="423">
        <f t="shared" si="0"/>
        <v>104594.3303038564</v>
      </c>
      <c r="Z17" s="423">
        <f t="shared" si="0"/>
        <v>111832.25796088326</v>
      </c>
      <c r="AA17" s="423">
        <f t="shared" si="0"/>
        <v>119571.05021177637</v>
      </c>
    </row>
    <row r="18" spans="1:27" s="114" customFormat="1">
      <c r="A18" s="422" t="s">
        <v>172</v>
      </c>
      <c r="B18" s="423">
        <v>7500</v>
      </c>
      <c r="C18" s="423">
        <f t="shared" si="1"/>
        <v>90000</v>
      </c>
      <c r="D18" s="423">
        <f t="shared" si="2"/>
        <v>96228</v>
      </c>
      <c r="E18" s="423">
        <f t="shared" si="0"/>
        <v>102886.9776</v>
      </c>
      <c r="F18" s="423">
        <f t="shared" si="0"/>
        <v>110006.75644991999</v>
      </c>
      <c r="G18" s="423">
        <f t="shared" si="0"/>
        <v>117619.22399625446</v>
      </c>
      <c r="H18" s="423">
        <f t="shared" si="0"/>
        <v>125758.47429679526</v>
      </c>
      <c r="I18" s="423">
        <f t="shared" si="0"/>
        <v>134460.96071813349</v>
      </c>
      <c r="J18" s="423">
        <f t="shared" si="0"/>
        <v>143765.65919982831</v>
      </c>
      <c r="K18" s="423">
        <f t="shared" si="0"/>
        <v>153714.24281645642</v>
      </c>
      <c r="L18" s="423">
        <f t="shared" si="0"/>
        <v>164351.26841935518</v>
      </c>
      <c r="M18" s="423">
        <f t="shared" si="0"/>
        <v>175724.37619397455</v>
      </c>
      <c r="N18" s="423">
        <f t="shared" si="0"/>
        <v>187884.50302659758</v>
      </c>
      <c r="O18" s="423">
        <f t="shared" si="0"/>
        <v>200886.11063603812</v>
      </c>
      <c r="P18" s="423">
        <f t="shared" si="0"/>
        <v>214787.42949205195</v>
      </c>
      <c r="Q18" s="423">
        <f t="shared" si="0"/>
        <v>229650.71961290191</v>
      </c>
      <c r="R18" s="423">
        <f t="shared" si="0"/>
        <v>245542.54941011471</v>
      </c>
      <c r="S18" s="423">
        <f t="shared" si="0"/>
        <v>262534.09382929461</v>
      </c>
      <c r="T18" s="423">
        <f t="shared" si="0"/>
        <v>280701.45312228176</v>
      </c>
      <c r="U18" s="423">
        <f t="shared" si="0"/>
        <v>300125.99367834366</v>
      </c>
      <c r="V18" s="423">
        <f t="shared" si="0"/>
        <v>320894.71244088502</v>
      </c>
      <c r="W18" s="423">
        <f t="shared" si="0"/>
        <v>343100.62654179422</v>
      </c>
      <c r="X18" s="423">
        <f t="shared" si="0"/>
        <v>366843.18989848637</v>
      </c>
      <c r="Y18" s="423">
        <f t="shared" si="0"/>
        <v>392228.73863946158</v>
      </c>
      <c r="Z18" s="423">
        <f t="shared" si="0"/>
        <v>419370.9673533123</v>
      </c>
      <c r="AA18" s="423">
        <f t="shared" si="0"/>
        <v>448391.43829416146</v>
      </c>
    </row>
    <row r="19" spans="1:27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>
      <c r="A20" s="427" t="s">
        <v>174</v>
      </c>
      <c r="B20" s="428">
        <f>SUM(B6:B19)</f>
        <v>43370.399999999994</v>
      </c>
      <c r="C20" s="428">
        <f t="shared" ref="C20:AA20" si="53">SUM(C6:C19)</f>
        <v>520444.80000000005</v>
      </c>
      <c r="D20" s="428">
        <f t="shared" si="53"/>
        <v>556459.5801599999</v>
      </c>
      <c r="E20" s="428">
        <f t="shared" si="53"/>
        <v>594966.58310707193</v>
      </c>
      <c r="F20" s="428">
        <f t="shared" si="53"/>
        <v>636138.27065808128</v>
      </c>
      <c r="G20" s="428">
        <f t="shared" si="53"/>
        <v>680159.0389876205</v>
      </c>
      <c r="H20" s="428">
        <f t="shared" si="53"/>
        <v>727226.04448556365</v>
      </c>
      <c r="I20" s="428">
        <f t="shared" si="53"/>
        <v>777550.08676396473</v>
      </c>
      <c r="J20" s="428">
        <f t="shared" si="53"/>
        <v>831356.5527680309</v>
      </c>
      <c r="K20" s="428">
        <f t="shared" si="53"/>
        <v>888886.42621957883</v>
      </c>
      <c r="L20" s="428">
        <f t="shared" si="53"/>
        <v>950397.36691397335</v>
      </c>
      <c r="M20" s="428">
        <f t="shared" si="53"/>
        <v>1016164.8647044202</v>
      </c>
      <c r="N20" s="428">
        <f t="shared" si="53"/>
        <v>1086483.4733419663</v>
      </c>
      <c r="O20" s="428">
        <f t="shared" si="53"/>
        <v>1161668.1296972302</v>
      </c>
      <c r="P20" s="428">
        <f t="shared" si="53"/>
        <v>1242055.5642722785</v>
      </c>
      <c r="Q20" s="428">
        <f t="shared" si="53"/>
        <v>1328005.8093199199</v>
      </c>
      <c r="R20" s="428">
        <f t="shared" si="53"/>
        <v>1419903.8113248583</v>
      </c>
      <c r="S20" s="428">
        <f t="shared" si="53"/>
        <v>1518161.1550685382</v>
      </c>
      <c r="T20" s="428">
        <f t="shared" si="53"/>
        <v>1623217.9069992811</v>
      </c>
      <c r="U20" s="428">
        <f t="shared" si="53"/>
        <v>1735544.5861636314</v>
      </c>
      <c r="V20" s="428">
        <f t="shared" si="53"/>
        <v>1855644.2715261546</v>
      </c>
      <c r="W20" s="428">
        <f t="shared" si="53"/>
        <v>1984054.8551157643</v>
      </c>
      <c r="X20" s="428">
        <f t="shared" si="53"/>
        <v>2121351.4510897752</v>
      </c>
      <c r="Y20" s="428">
        <f t="shared" si="53"/>
        <v>2268148.9715051875</v>
      </c>
      <c r="Z20" s="428">
        <f t="shared" si="53"/>
        <v>2425104.8803333463</v>
      </c>
      <c r="AA20" s="428">
        <f t="shared" si="53"/>
        <v>2592922.1380524142</v>
      </c>
    </row>
    <row r="21" spans="1:27">
      <c r="A21" s="424"/>
      <c r="B21" s="426"/>
      <c r="C21" s="426"/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6"/>
      <c r="O21" s="426"/>
      <c r="P21" s="426"/>
      <c r="Q21" s="426"/>
      <c r="R21" s="426"/>
      <c r="S21" s="426"/>
      <c r="T21" s="426"/>
      <c r="U21" s="426"/>
      <c r="V21" s="426"/>
      <c r="W21" s="426"/>
      <c r="X21" s="426"/>
      <c r="Y21" s="426"/>
      <c r="Z21" s="426"/>
      <c r="AA21" s="426"/>
    </row>
    <row r="22" spans="1:27">
      <c r="A22" s="418" t="s">
        <v>175</v>
      </c>
      <c r="B22" s="387" t="s">
        <v>179</v>
      </c>
      <c r="C22" s="429" t="s">
        <v>131</v>
      </c>
      <c r="D22" s="388" t="s">
        <v>132</v>
      </c>
      <c r="E22" s="388" t="s">
        <v>133</v>
      </c>
      <c r="F22" s="388" t="s">
        <v>134</v>
      </c>
      <c r="G22" s="388" t="s">
        <v>135</v>
      </c>
      <c r="H22" s="388" t="s">
        <v>136</v>
      </c>
      <c r="I22" s="388" t="s">
        <v>137</v>
      </c>
      <c r="J22" s="388" t="s">
        <v>138</v>
      </c>
      <c r="K22" s="388" t="s">
        <v>139</v>
      </c>
      <c r="L22" s="388" t="s">
        <v>140</v>
      </c>
      <c r="M22" s="388" t="s">
        <v>141</v>
      </c>
      <c r="N22" s="388" t="s">
        <v>142</v>
      </c>
      <c r="O22" s="388" t="s">
        <v>143</v>
      </c>
      <c r="P22" s="388" t="s">
        <v>144</v>
      </c>
      <c r="Q22" s="388" t="s">
        <v>145</v>
      </c>
      <c r="R22" s="388" t="s">
        <v>146</v>
      </c>
      <c r="S22" s="388" t="s">
        <v>147</v>
      </c>
      <c r="T22" s="388" t="s">
        <v>148</v>
      </c>
      <c r="U22" s="388" t="s">
        <v>149</v>
      </c>
      <c r="V22" s="388" t="s">
        <v>150</v>
      </c>
      <c r="W22" s="388" t="s">
        <v>151</v>
      </c>
      <c r="X22" s="388" t="s">
        <v>152</v>
      </c>
      <c r="Y22" s="388" t="s">
        <v>153</v>
      </c>
      <c r="Z22" s="388" t="s">
        <v>154</v>
      </c>
      <c r="AA22" s="388" t="s">
        <v>155</v>
      </c>
    </row>
    <row r="23" spans="1:27" s="39" customFormat="1">
      <c r="A23" s="424" t="s">
        <v>685</v>
      </c>
      <c r="B23" s="423">
        <v>17641</v>
      </c>
      <c r="C23" s="423">
        <f>B23*12</f>
        <v>211692</v>
      </c>
      <c r="D23" s="423">
        <f>C23*(1+$B$2)</f>
        <v>226341.08639999997</v>
      </c>
      <c r="E23" s="423">
        <f t="shared" ref="E23:AA32" si="54">D23*(1+$B$2)</f>
        <v>242003.88957887996</v>
      </c>
      <c r="F23" s="423">
        <f t="shared" si="54"/>
        <v>258750.55873773844</v>
      </c>
      <c r="G23" s="423">
        <f t="shared" si="54"/>
        <v>276656.09740238992</v>
      </c>
      <c r="H23" s="423">
        <f t="shared" si="54"/>
        <v>295800.69934263529</v>
      </c>
      <c r="I23" s="423">
        <f t="shared" si="54"/>
        <v>316270.10773714562</v>
      </c>
      <c r="J23" s="423">
        <f t="shared" si="54"/>
        <v>338155.99919255608</v>
      </c>
      <c r="K23" s="423">
        <f t="shared" si="54"/>
        <v>361556.39433668094</v>
      </c>
      <c r="L23" s="423">
        <f t="shared" si="54"/>
        <v>386576.09682477923</v>
      </c>
      <c r="M23" s="423">
        <f t="shared" si="54"/>
        <v>413327.1627250539</v>
      </c>
      <c r="N23" s="423">
        <f t="shared" si="54"/>
        <v>441929.40238562762</v>
      </c>
      <c r="O23" s="423">
        <f t="shared" si="54"/>
        <v>472510.917030713</v>
      </c>
      <c r="P23" s="423">
        <f t="shared" si="54"/>
        <v>505208.67248923832</v>
      </c>
      <c r="Q23" s="423">
        <f t="shared" si="54"/>
        <v>540169.11262549355</v>
      </c>
      <c r="R23" s="423">
        <f t="shared" si="54"/>
        <v>577548.81521917763</v>
      </c>
      <c r="S23" s="423">
        <f t="shared" si="54"/>
        <v>617515.1932323447</v>
      </c>
      <c r="T23" s="423">
        <f t="shared" si="54"/>
        <v>660247.24460402294</v>
      </c>
      <c r="U23" s="423">
        <f t="shared" si="54"/>
        <v>705936.35393062129</v>
      </c>
      <c r="V23" s="423">
        <f t="shared" si="54"/>
        <v>754787.1496226202</v>
      </c>
      <c r="W23" s="423">
        <f t="shared" si="54"/>
        <v>807018.42037650547</v>
      </c>
      <c r="X23" s="423">
        <f t="shared" si="54"/>
        <v>862864.09506655962</v>
      </c>
      <c r="Y23" s="423">
        <f t="shared" si="54"/>
        <v>922574.29044516548</v>
      </c>
      <c r="Z23" s="423">
        <f t="shared" si="54"/>
        <v>986416.43134397082</v>
      </c>
      <c r="AA23" s="423">
        <f t="shared" si="54"/>
        <v>1054676.4483929735</v>
      </c>
    </row>
    <row r="24" spans="1:27">
      <c r="A24" s="425" t="s">
        <v>409</v>
      </c>
      <c r="B24" s="423">
        <v>38105</v>
      </c>
      <c r="C24" s="423">
        <f>B24*12</f>
        <v>457260</v>
      </c>
      <c r="D24" s="423">
        <f t="shared" ref="D24:S32" si="55">C24*(1+$B$2)</f>
        <v>488902.39199999999</v>
      </c>
      <c r="E24" s="423">
        <f t="shared" si="55"/>
        <v>522734.43752639997</v>
      </c>
      <c r="F24" s="423">
        <f t="shared" si="55"/>
        <v>558907.66060322686</v>
      </c>
      <c r="G24" s="423">
        <f t="shared" si="55"/>
        <v>597584.07071697013</v>
      </c>
      <c r="H24" s="423">
        <f t="shared" si="55"/>
        <v>638936.88841058442</v>
      </c>
      <c r="I24" s="423">
        <f t="shared" si="55"/>
        <v>683151.32108859683</v>
      </c>
      <c r="J24" s="423">
        <f t="shared" si="55"/>
        <v>730425.39250792773</v>
      </c>
      <c r="K24" s="423">
        <f t="shared" si="55"/>
        <v>780970.82966947625</v>
      </c>
      <c r="L24" s="423">
        <f t="shared" si="55"/>
        <v>835014.01108260395</v>
      </c>
      <c r="M24" s="423">
        <f t="shared" si="55"/>
        <v>892796.98064952006</v>
      </c>
      <c r="N24" s="423">
        <f t="shared" si="55"/>
        <v>954578.53171046684</v>
      </c>
      <c r="O24" s="423">
        <f t="shared" si="55"/>
        <v>1020635.3661048311</v>
      </c>
      <c r="P24" s="423">
        <f t="shared" si="55"/>
        <v>1091263.3334392854</v>
      </c>
      <c r="Q24" s="423">
        <f t="shared" si="55"/>
        <v>1166778.7561132838</v>
      </c>
      <c r="R24" s="423">
        <f t="shared" si="55"/>
        <v>1247519.8460363229</v>
      </c>
      <c r="S24" s="423">
        <f t="shared" si="55"/>
        <v>1333848.2193820362</v>
      </c>
      <c r="T24" s="423">
        <f t="shared" si="54"/>
        <v>1426150.516163273</v>
      </c>
      <c r="U24" s="423">
        <f t="shared" si="54"/>
        <v>1524840.1318817714</v>
      </c>
      <c r="V24" s="423">
        <f t="shared" si="54"/>
        <v>1630359.06900799</v>
      </c>
      <c r="W24" s="423">
        <f t="shared" si="54"/>
        <v>1743179.9165833427</v>
      </c>
      <c r="X24" s="423">
        <f t="shared" si="54"/>
        <v>1863807.9668109098</v>
      </c>
      <c r="Y24" s="423">
        <f t="shared" si="54"/>
        <v>1992783.4781142247</v>
      </c>
      <c r="Z24" s="423">
        <f t="shared" si="54"/>
        <v>2130684.0947997291</v>
      </c>
      <c r="AA24" s="423">
        <f t="shared" si="54"/>
        <v>2278127.4341598703</v>
      </c>
    </row>
    <row r="25" spans="1:27" s="39" customFormat="1">
      <c r="A25" s="422" t="s">
        <v>692</v>
      </c>
      <c r="B25" s="423">
        <v>2138.4</v>
      </c>
      <c r="C25" s="423">
        <f t="shared" ref="C25" si="56">B25*12</f>
        <v>25660.800000000003</v>
      </c>
      <c r="D25" s="423">
        <f t="shared" si="55"/>
        <v>27436.52736</v>
      </c>
      <c r="E25" s="423">
        <f t="shared" si="54"/>
        <v>29335.135053311998</v>
      </c>
      <c r="F25" s="423">
        <f t="shared" si="54"/>
        <v>31365.126399001187</v>
      </c>
      <c r="G25" s="423">
        <f t="shared" si="54"/>
        <v>33535.593145812069</v>
      </c>
      <c r="H25" s="423">
        <f t="shared" si="54"/>
        <v>35856.25619150226</v>
      </c>
      <c r="I25" s="423">
        <f t="shared" si="54"/>
        <v>38337.509119954215</v>
      </c>
      <c r="J25" s="423">
        <f t="shared" si="54"/>
        <v>40990.464751055042</v>
      </c>
      <c r="K25" s="423">
        <f t="shared" si="54"/>
        <v>43827.004911828051</v>
      </c>
      <c r="L25" s="423">
        <f t="shared" si="54"/>
        <v>46859.833651726549</v>
      </c>
      <c r="M25" s="423">
        <f t="shared" si="54"/>
        <v>50102.534140426025</v>
      </c>
      <c r="N25" s="423">
        <f t="shared" si="54"/>
        <v>53569.629502943506</v>
      </c>
      <c r="O25" s="423">
        <f t="shared" si="54"/>
        <v>57276.647864547194</v>
      </c>
      <c r="P25" s="423">
        <f t="shared" si="54"/>
        <v>61240.191896773853</v>
      </c>
      <c r="Q25" s="423">
        <f t="shared" si="54"/>
        <v>65478.013176030596</v>
      </c>
      <c r="R25" s="423">
        <f t="shared" si="54"/>
        <v>70009.091687811902</v>
      </c>
      <c r="S25" s="423">
        <f t="shared" si="54"/>
        <v>74853.72083260848</v>
      </c>
      <c r="T25" s="423">
        <f t="shared" si="54"/>
        <v>80033.598314224975</v>
      </c>
      <c r="U25" s="423">
        <f t="shared" si="54"/>
        <v>85571.923317569337</v>
      </c>
      <c r="V25" s="423">
        <f t="shared" si="54"/>
        <v>91493.500411145127</v>
      </c>
      <c r="W25" s="423">
        <f t="shared" si="54"/>
        <v>97824.850639596363</v>
      </c>
      <c r="X25" s="423">
        <f t="shared" si="54"/>
        <v>104594.33030385642</v>
      </c>
      <c r="Y25" s="423">
        <f t="shared" si="54"/>
        <v>111832.25796088327</v>
      </c>
      <c r="Z25" s="423">
        <f t="shared" si="54"/>
        <v>119571.05021177638</v>
      </c>
      <c r="AA25" s="423">
        <f t="shared" si="54"/>
        <v>127845.36688643129</v>
      </c>
    </row>
    <row r="26" spans="1:27">
      <c r="A26" s="14" t="s">
        <v>173</v>
      </c>
      <c r="B26" s="423">
        <v>58653</v>
      </c>
      <c r="C26" s="423">
        <f t="shared" ref="C26:C31" si="57">B26*12</f>
        <v>703836</v>
      </c>
      <c r="D26" s="423">
        <f t="shared" si="55"/>
        <v>752541.45119999989</v>
      </c>
      <c r="E26" s="423">
        <f t="shared" si="54"/>
        <v>804617.3196230398</v>
      </c>
      <c r="F26" s="423">
        <f t="shared" si="54"/>
        <v>860296.83814095415</v>
      </c>
      <c r="G26" s="423">
        <f t="shared" si="54"/>
        <v>919829.37934030814</v>
      </c>
      <c r="H26" s="423">
        <f t="shared" si="54"/>
        <v>983481.57239065738</v>
      </c>
      <c r="I26" s="423">
        <f t="shared" si="54"/>
        <v>1051538.4972000909</v>
      </c>
      <c r="J26" s="423">
        <f t="shared" si="54"/>
        <v>1124304.9612063372</v>
      </c>
      <c r="K26" s="423">
        <f t="shared" si="54"/>
        <v>1202106.8645218157</v>
      </c>
      <c r="L26" s="423">
        <f t="shared" si="54"/>
        <v>1285292.6595467252</v>
      </c>
      <c r="M26" s="423">
        <f t="shared" si="54"/>
        <v>1374234.9115873585</v>
      </c>
      <c r="N26" s="423">
        <f t="shared" si="54"/>
        <v>1469331.9674692035</v>
      </c>
      <c r="O26" s="423">
        <f t="shared" si="54"/>
        <v>1571009.7396180723</v>
      </c>
      <c r="P26" s="423">
        <f t="shared" si="54"/>
        <v>1679723.6135996429</v>
      </c>
      <c r="Q26" s="423">
        <f t="shared" si="54"/>
        <v>1795960.4876607379</v>
      </c>
      <c r="R26" s="423">
        <f t="shared" si="54"/>
        <v>1920240.9534068608</v>
      </c>
      <c r="S26" s="423">
        <f t="shared" si="54"/>
        <v>2053121.6273826153</v>
      </c>
      <c r="T26" s="423">
        <f t="shared" si="54"/>
        <v>2195197.6439974923</v>
      </c>
      <c r="U26" s="423">
        <f t="shared" si="54"/>
        <v>2347105.3209621185</v>
      </c>
      <c r="V26" s="423">
        <f t="shared" si="54"/>
        <v>2509525.0091726971</v>
      </c>
      <c r="W26" s="423">
        <f t="shared" si="54"/>
        <v>2683184.1398074473</v>
      </c>
      <c r="X26" s="423">
        <f t="shared" si="54"/>
        <v>2868860.4822821226</v>
      </c>
      <c r="Y26" s="423">
        <f t="shared" si="54"/>
        <v>3067385.6276560454</v>
      </c>
      <c r="Z26" s="423">
        <f t="shared" si="54"/>
        <v>3279648.7130898433</v>
      </c>
      <c r="AA26" s="423">
        <f t="shared" si="54"/>
        <v>3506600.40403566</v>
      </c>
    </row>
    <row r="27" spans="1:27" s="39" customFormat="1">
      <c r="A27" s="425" t="s">
        <v>756</v>
      </c>
      <c r="B27" s="423">
        <v>2993.6</v>
      </c>
      <c r="C27" s="423">
        <f t="shared" si="57"/>
        <v>35923.199999999997</v>
      </c>
      <c r="D27" s="423">
        <f t="shared" ref="D27" si="58">C27*(1+$B$2)</f>
        <v>38409.085439999995</v>
      </c>
      <c r="E27" s="423">
        <f t="shared" ref="E27" si="59">D27*(1+$B$2)</f>
        <v>41066.994152447995</v>
      </c>
      <c r="F27" s="423">
        <f t="shared" ref="F27" si="60">E27*(1+$B$2)</f>
        <v>43908.830147797395</v>
      </c>
      <c r="G27" s="423">
        <f t="shared" ref="G27" si="61">F27*(1+$B$2)</f>
        <v>46947.321194024968</v>
      </c>
      <c r="H27" s="423">
        <f t="shared" ref="H27" si="62">G27*(1+$B$2)</f>
        <v>50196.075820651495</v>
      </c>
      <c r="I27" s="423">
        <f t="shared" ref="I27" si="63">H27*(1+$B$2)</f>
        <v>53669.644267440577</v>
      </c>
      <c r="J27" s="423">
        <f t="shared" ref="J27" si="64">I27*(1+$B$2)</f>
        <v>57383.58365074746</v>
      </c>
      <c r="K27" s="423">
        <f t="shared" ref="K27" si="65">J27*(1+$B$2)</f>
        <v>61354.527639379179</v>
      </c>
      <c r="L27" s="423">
        <f t="shared" ref="L27" si="66">K27*(1+$B$2)</f>
        <v>65600.260952024211</v>
      </c>
      <c r="M27" s="423">
        <f t="shared" ref="M27" si="67">L27*(1+$B$2)</f>
        <v>70139.79900990428</v>
      </c>
      <c r="N27" s="423">
        <f t="shared" ref="N27" si="68">M27*(1+$B$2)</f>
        <v>74993.473101389653</v>
      </c>
      <c r="O27" s="423">
        <f t="shared" ref="O27" si="69">N27*(1+$B$2)</f>
        <v>80183.021440005818</v>
      </c>
      <c r="P27" s="423">
        <f t="shared" ref="P27" si="70">O27*(1+$B$2)</f>
        <v>85731.686523654207</v>
      </c>
      <c r="Q27" s="423">
        <f t="shared" ref="Q27" si="71">P27*(1+$B$2)</f>
        <v>91664.319231091067</v>
      </c>
      <c r="R27" s="423">
        <f t="shared" ref="R27" si="72">Q27*(1+$B$2)</f>
        <v>98007.490121882569</v>
      </c>
      <c r="S27" s="423">
        <f t="shared" ref="S27" si="73">R27*(1+$B$2)</f>
        <v>104789.60843831683</v>
      </c>
      <c r="T27" s="423">
        <f t="shared" ref="T27" si="74">S27*(1+$B$2)</f>
        <v>112041.04934224836</v>
      </c>
      <c r="U27" s="423">
        <f t="shared" ref="U27" si="75">T27*(1+$B$2)</f>
        <v>119794.28995673194</v>
      </c>
      <c r="V27" s="423">
        <f t="shared" ref="V27" si="76">U27*(1+$B$2)</f>
        <v>128084.05482173778</v>
      </c>
      <c r="W27" s="423">
        <f t="shared" ref="W27" si="77">V27*(1+$B$2)</f>
        <v>136947.47141540202</v>
      </c>
      <c r="X27" s="423">
        <f t="shared" ref="X27" si="78">W27*(1+$B$2)</f>
        <v>146424.23643734783</v>
      </c>
      <c r="Y27" s="423">
        <f t="shared" ref="Y27" si="79">X27*(1+$B$2)</f>
        <v>156556.79359881231</v>
      </c>
      <c r="Z27" s="423">
        <f t="shared" ref="Z27" si="80">Y27*(1+$B$2)</f>
        <v>167390.52371585011</v>
      </c>
      <c r="AA27" s="423">
        <f t="shared" ref="AA27" si="81">Z27*(1+$B$2)</f>
        <v>178973.94795698693</v>
      </c>
    </row>
    <row r="28" spans="1:27" s="39" customFormat="1">
      <c r="A28" s="425" t="s">
        <v>755</v>
      </c>
      <c r="B28" s="423">
        <v>1710.72</v>
      </c>
      <c r="C28" s="423">
        <f t="shared" si="57"/>
        <v>20528.64</v>
      </c>
      <c r="D28" s="423">
        <f t="shared" ref="D28" si="82">C28*(1+$B$2)</f>
        <v>21949.221887999996</v>
      </c>
      <c r="E28" s="423">
        <f t="shared" ref="E28" si="83">D28*(1+$B$2)</f>
        <v>23468.108042649594</v>
      </c>
      <c r="F28" s="423">
        <f t="shared" ref="F28" si="84">E28*(1+$B$2)</f>
        <v>25092.101119200943</v>
      </c>
      <c r="G28" s="423">
        <f t="shared" ref="G28" si="85">F28*(1+$B$2)</f>
        <v>26828.474516649647</v>
      </c>
      <c r="H28" s="423">
        <f t="shared" ref="H28" si="86">G28*(1+$B$2)</f>
        <v>28685.004953201802</v>
      </c>
      <c r="I28" s="423">
        <f t="shared" ref="I28" si="87">H28*(1+$B$2)</f>
        <v>30670.007295963365</v>
      </c>
      <c r="J28" s="423">
        <f t="shared" ref="J28" si="88">I28*(1+$B$2)</f>
        <v>32792.371800844026</v>
      </c>
      <c r="K28" s="423">
        <f t="shared" ref="K28" si="89">J28*(1+$B$2)</f>
        <v>35061.603929462428</v>
      </c>
      <c r="L28" s="423">
        <f t="shared" ref="L28" si="90">K28*(1+$B$2)</f>
        <v>37487.866921381225</v>
      </c>
      <c r="M28" s="423">
        <f t="shared" ref="M28" si="91">L28*(1+$B$2)</f>
        <v>40082.027312340804</v>
      </c>
      <c r="N28" s="423">
        <f t="shared" ref="N28" si="92">M28*(1+$B$2)</f>
        <v>42855.703602354784</v>
      </c>
      <c r="O28" s="423">
        <f t="shared" ref="O28" si="93">N28*(1+$B$2)</f>
        <v>45821.318291637734</v>
      </c>
      <c r="P28" s="423">
        <f t="shared" ref="P28" si="94">O28*(1+$B$2)</f>
        <v>48992.153517419065</v>
      </c>
      <c r="Q28" s="423">
        <f t="shared" ref="Q28" si="95">P28*(1+$B$2)</f>
        <v>52382.410540824458</v>
      </c>
      <c r="R28" s="423">
        <f t="shared" ref="R28" si="96">Q28*(1+$B$2)</f>
        <v>56007.273350249503</v>
      </c>
      <c r="S28" s="423">
        <f t="shared" ref="S28" si="97">R28*(1+$B$2)</f>
        <v>59882.976666086768</v>
      </c>
      <c r="T28" s="423">
        <f t="shared" ref="T28" si="98">S28*(1+$B$2)</f>
        <v>64026.878651379971</v>
      </c>
      <c r="U28" s="423">
        <f t="shared" ref="U28" si="99">T28*(1+$B$2)</f>
        <v>68457.538654055461</v>
      </c>
      <c r="V28" s="423">
        <f t="shared" ref="V28" si="100">U28*(1+$B$2)</f>
        <v>73194.800328916099</v>
      </c>
      <c r="W28" s="423">
        <f t="shared" ref="W28" si="101">V28*(1+$B$2)</f>
        <v>78259.880511677082</v>
      </c>
      <c r="X28" s="423">
        <f t="shared" ref="X28" si="102">W28*(1+$B$2)</f>
        <v>83675.464243085124</v>
      </c>
      <c r="Y28" s="423">
        <f t="shared" ref="Y28" si="103">X28*(1+$B$2)</f>
        <v>89465.806368706602</v>
      </c>
      <c r="Z28" s="423">
        <f t="shared" ref="Z28" si="104">Y28*(1+$B$2)</f>
        <v>95656.840169421092</v>
      </c>
      <c r="AA28" s="423">
        <f t="shared" ref="AA28" si="105">Z28*(1+$B$2)</f>
        <v>102276.29350914502</v>
      </c>
    </row>
    <row r="29" spans="1:27" s="39" customFormat="1">
      <c r="A29" s="14" t="s">
        <v>754</v>
      </c>
      <c r="B29" s="423">
        <v>450</v>
      </c>
      <c r="C29" s="423">
        <f t="shared" si="57"/>
        <v>5400</v>
      </c>
      <c r="D29" s="423">
        <f t="shared" ref="D29:D31" si="106">C29*(1+$B$2)</f>
        <v>5773.6799999999994</v>
      </c>
      <c r="E29" s="423">
        <f t="shared" ref="E29:E31" si="107">D29*(1+$B$2)</f>
        <v>6173.2186559999991</v>
      </c>
      <c r="F29" s="423">
        <f t="shared" ref="F29:F31" si="108">E29*(1+$B$2)</f>
        <v>6600.4053869951986</v>
      </c>
      <c r="G29" s="423">
        <f t="shared" ref="G29:G31" si="109">F29*(1+$B$2)</f>
        <v>7057.1534397752657</v>
      </c>
      <c r="H29" s="423">
        <f t="shared" ref="H29:H31" si="110">G29*(1+$B$2)</f>
        <v>7545.508457807714</v>
      </c>
      <c r="I29" s="423">
        <f t="shared" ref="I29:I31" si="111">H29*(1+$B$2)</f>
        <v>8067.6576430880068</v>
      </c>
      <c r="J29" s="423">
        <f t="shared" ref="J29:J31" si="112">I29*(1+$B$2)</f>
        <v>8625.9395519896971</v>
      </c>
      <c r="K29" s="423">
        <f t="shared" ref="K29:K31" si="113">J29*(1+$B$2)</f>
        <v>9222.8545689873827</v>
      </c>
      <c r="L29" s="423">
        <f t="shared" ref="L29:L31" si="114">K29*(1+$B$2)</f>
        <v>9861.0761051613081</v>
      </c>
      <c r="M29" s="423">
        <f t="shared" ref="M29:M31" si="115">L29*(1+$B$2)</f>
        <v>10543.462571638471</v>
      </c>
      <c r="N29" s="423">
        <f t="shared" ref="N29:N31" si="116">M29*(1+$B$2)</f>
        <v>11273.070181595853</v>
      </c>
      <c r="O29" s="423">
        <f t="shared" ref="O29:O31" si="117">N29*(1+$B$2)</f>
        <v>12053.166638162285</v>
      </c>
      <c r="P29" s="423">
        <f t="shared" ref="P29:P31" si="118">O29*(1+$B$2)</f>
        <v>12887.245769523115</v>
      </c>
      <c r="Q29" s="423">
        <f t="shared" ref="Q29:Q31" si="119">P29*(1+$B$2)</f>
        <v>13779.043176774114</v>
      </c>
      <c r="R29" s="423">
        <f t="shared" ref="R29:R31" si="120">Q29*(1+$B$2)</f>
        <v>14732.552964606881</v>
      </c>
      <c r="S29" s="423">
        <f t="shared" ref="S29:S31" si="121">R29*(1+$B$2)</f>
        <v>15752.045629757677</v>
      </c>
      <c r="T29" s="423">
        <f t="shared" ref="T29:T31" si="122">S29*(1+$B$2)</f>
        <v>16842.087187336907</v>
      </c>
      <c r="U29" s="423">
        <f t="shared" ref="U29:U31" si="123">T29*(1+$B$2)</f>
        <v>18007.55962070062</v>
      </c>
      <c r="V29" s="423">
        <f t="shared" ref="V29:V31" si="124">U29*(1+$B$2)</f>
        <v>19253.682746453102</v>
      </c>
      <c r="W29" s="423">
        <f t="shared" ref="W29:W31" si="125">V29*(1+$B$2)</f>
        <v>20586.037592507655</v>
      </c>
      <c r="X29" s="423">
        <f t="shared" ref="X29:X31" si="126">W29*(1+$B$2)</f>
        <v>22010.591393909184</v>
      </c>
      <c r="Y29" s="423">
        <f t="shared" ref="Y29:Y31" si="127">X29*(1+$B$2)</f>
        <v>23533.724318367698</v>
      </c>
      <c r="Z29" s="423">
        <f t="shared" ref="Z29:Z31" si="128">Y29*(1+$B$2)</f>
        <v>25162.25804119874</v>
      </c>
      <c r="AA29" s="423">
        <f t="shared" ref="AA29:AA31" si="129">Z29*(1+$B$2)</f>
        <v>26903.486297649692</v>
      </c>
    </row>
    <row r="30" spans="1:27" s="39" customFormat="1">
      <c r="A30" s="425" t="s">
        <v>757</v>
      </c>
      <c r="B30" s="423">
        <v>3000</v>
      </c>
      <c r="C30" s="423">
        <f t="shared" si="57"/>
        <v>36000</v>
      </c>
      <c r="D30" s="423">
        <f t="shared" si="106"/>
        <v>38491.199999999997</v>
      </c>
      <c r="E30" s="423">
        <f t="shared" si="107"/>
        <v>41154.791039999996</v>
      </c>
      <c r="F30" s="423">
        <f t="shared" si="108"/>
        <v>44002.70257996799</v>
      </c>
      <c r="G30" s="423">
        <f t="shared" si="109"/>
        <v>47047.689598501769</v>
      </c>
      <c r="H30" s="423">
        <f t="shared" si="110"/>
        <v>50303.389718718085</v>
      </c>
      <c r="I30" s="423">
        <f t="shared" si="111"/>
        <v>53784.384287253371</v>
      </c>
      <c r="J30" s="423">
        <f t="shared" si="112"/>
        <v>57506.263679931304</v>
      </c>
      <c r="K30" s="423">
        <f t="shared" si="113"/>
        <v>61485.697126582549</v>
      </c>
      <c r="L30" s="423">
        <f t="shared" si="114"/>
        <v>65740.507367742059</v>
      </c>
      <c r="M30" s="423">
        <f t="shared" si="115"/>
        <v>70289.750477589798</v>
      </c>
      <c r="N30" s="423">
        <f t="shared" si="116"/>
        <v>75153.801210639009</v>
      </c>
      <c r="O30" s="423">
        <f t="shared" si="117"/>
        <v>80354.444254415226</v>
      </c>
      <c r="P30" s="423">
        <f t="shared" si="118"/>
        <v>85914.971796820755</v>
      </c>
      <c r="Q30" s="423">
        <f t="shared" si="119"/>
        <v>91860.287845160739</v>
      </c>
      <c r="R30" s="423">
        <f t="shared" si="120"/>
        <v>98217.01976404585</v>
      </c>
      <c r="S30" s="423">
        <f t="shared" si="121"/>
        <v>105013.63753171782</v>
      </c>
      <c r="T30" s="423">
        <f t="shared" si="122"/>
        <v>112280.58124891268</v>
      </c>
      <c r="U30" s="423">
        <f t="shared" si="123"/>
        <v>120050.39747133743</v>
      </c>
      <c r="V30" s="423">
        <f t="shared" si="124"/>
        <v>128357.88497635398</v>
      </c>
      <c r="W30" s="423">
        <f t="shared" si="125"/>
        <v>137240.25061671768</v>
      </c>
      <c r="X30" s="423">
        <f t="shared" si="126"/>
        <v>146737.27595939452</v>
      </c>
      <c r="Y30" s="423">
        <f t="shared" si="127"/>
        <v>156891.49545578461</v>
      </c>
      <c r="Z30" s="423">
        <f t="shared" si="128"/>
        <v>167748.38694132489</v>
      </c>
      <c r="AA30" s="423">
        <f t="shared" si="129"/>
        <v>179356.57531766457</v>
      </c>
    </row>
    <row r="31" spans="1:27" s="39" customFormat="1">
      <c r="A31" s="425" t="s">
        <v>758</v>
      </c>
      <c r="B31" s="423">
        <v>2000</v>
      </c>
      <c r="C31" s="423">
        <f t="shared" si="57"/>
        <v>24000</v>
      </c>
      <c r="D31" s="423">
        <f t="shared" si="106"/>
        <v>25660.799999999999</v>
      </c>
      <c r="E31" s="423">
        <f t="shared" si="107"/>
        <v>27436.527359999996</v>
      </c>
      <c r="F31" s="423">
        <f t="shared" si="108"/>
        <v>29335.135053311995</v>
      </c>
      <c r="G31" s="423">
        <f t="shared" si="109"/>
        <v>31365.126399001183</v>
      </c>
      <c r="H31" s="423">
        <f t="shared" si="110"/>
        <v>33535.593145812061</v>
      </c>
      <c r="I31" s="423">
        <f t="shared" si="111"/>
        <v>35856.256191502252</v>
      </c>
      <c r="J31" s="423">
        <f t="shared" si="112"/>
        <v>38337.509119954208</v>
      </c>
      <c r="K31" s="423">
        <f t="shared" si="113"/>
        <v>40990.464751055035</v>
      </c>
      <c r="L31" s="423">
        <f t="shared" si="114"/>
        <v>43827.004911828037</v>
      </c>
      <c r="M31" s="423">
        <f t="shared" si="115"/>
        <v>46859.833651726534</v>
      </c>
      <c r="N31" s="423">
        <f t="shared" si="116"/>
        <v>50102.534140426011</v>
      </c>
      <c r="O31" s="423">
        <f t="shared" si="117"/>
        <v>53569.629502943484</v>
      </c>
      <c r="P31" s="423">
        <f t="shared" si="118"/>
        <v>57276.647864547173</v>
      </c>
      <c r="Q31" s="423">
        <f t="shared" si="119"/>
        <v>61240.191896773831</v>
      </c>
      <c r="R31" s="423">
        <f t="shared" si="120"/>
        <v>65478.013176030574</v>
      </c>
      <c r="S31" s="423">
        <f t="shared" si="121"/>
        <v>70009.091687811888</v>
      </c>
      <c r="T31" s="423">
        <f t="shared" si="122"/>
        <v>74853.720832608466</v>
      </c>
      <c r="U31" s="423">
        <f t="shared" si="123"/>
        <v>80033.598314224961</v>
      </c>
      <c r="V31" s="423">
        <f t="shared" si="124"/>
        <v>85571.923317569323</v>
      </c>
      <c r="W31" s="423">
        <f t="shared" si="125"/>
        <v>91493.500411145113</v>
      </c>
      <c r="X31" s="423">
        <f t="shared" si="126"/>
        <v>97824.850639596349</v>
      </c>
      <c r="Y31" s="423">
        <f t="shared" si="127"/>
        <v>104594.3303038564</v>
      </c>
      <c r="Z31" s="423">
        <f t="shared" si="128"/>
        <v>111832.25796088326</v>
      </c>
      <c r="AA31" s="423">
        <f t="shared" si="129"/>
        <v>119571.05021177637</v>
      </c>
    </row>
    <row r="32" spans="1:27">
      <c r="A32" s="422" t="s">
        <v>454</v>
      </c>
      <c r="B32" s="423">
        <v>2100</v>
      </c>
      <c r="C32" s="423">
        <f>'[2]Encerramento e Monitoramento'!F12/25</f>
        <v>18000</v>
      </c>
      <c r="D32" s="423">
        <f t="shared" si="55"/>
        <v>19245.599999999999</v>
      </c>
      <c r="E32" s="423">
        <f t="shared" si="54"/>
        <v>20577.395519999998</v>
      </c>
      <c r="F32" s="423">
        <f t="shared" si="54"/>
        <v>22001.351289983995</v>
      </c>
      <c r="G32" s="423">
        <f t="shared" si="54"/>
        <v>23523.844799250885</v>
      </c>
      <c r="H32" s="423">
        <f t="shared" si="54"/>
        <v>25151.694859359042</v>
      </c>
      <c r="I32" s="423">
        <f t="shared" si="54"/>
        <v>26892.192143626686</v>
      </c>
      <c r="J32" s="423">
        <f t="shared" si="54"/>
        <v>28753.131839965652</v>
      </c>
      <c r="K32" s="423">
        <f t="shared" si="54"/>
        <v>30742.848563291274</v>
      </c>
      <c r="L32" s="423">
        <f t="shared" si="54"/>
        <v>32870.253683871029</v>
      </c>
      <c r="M32" s="423">
        <f t="shared" si="54"/>
        <v>35144.875238794899</v>
      </c>
      <c r="N32" s="423">
        <f t="shared" si="54"/>
        <v>37576.900605319504</v>
      </c>
      <c r="O32" s="423">
        <f t="shared" si="54"/>
        <v>40177.222127207613</v>
      </c>
      <c r="P32" s="423">
        <f t="shared" si="54"/>
        <v>42957.485898410378</v>
      </c>
      <c r="Q32" s="423">
        <f t="shared" si="54"/>
        <v>45930.14392258037</v>
      </c>
      <c r="R32" s="423">
        <f t="shared" si="54"/>
        <v>49108.509882022925</v>
      </c>
      <c r="S32" s="423">
        <f t="shared" si="54"/>
        <v>52506.818765858909</v>
      </c>
      <c r="T32" s="423">
        <f t="shared" si="54"/>
        <v>56140.290624456342</v>
      </c>
      <c r="U32" s="423">
        <f t="shared" si="54"/>
        <v>60025.198735668717</v>
      </c>
      <c r="V32" s="423">
        <f t="shared" si="54"/>
        <v>64178.942488176988</v>
      </c>
      <c r="W32" s="423">
        <f t="shared" si="54"/>
        <v>68620.125308358838</v>
      </c>
      <c r="X32" s="423">
        <f t="shared" si="54"/>
        <v>73368.637979697261</v>
      </c>
      <c r="Y32" s="423">
        <f t="shared" si="54"/>
        <v>78445.747727892303</v>
      </c>
      <c r="Z32" s="423">
        <f t="shared" si="54"/>
        <v>83874.193470662445</v>
      </c>
      <c r="AA32" s="423">
        <f t="shared" si="54"/>
        <v>89678.287658832283</v>
      </c>
    </row>
    <row r="33" spans="1:27">
      <c r="A33" s="427" t="s">
        <v>176</v>
      </c>
      <c r="B33" s="428">
        <f t="shared" ref="B33:AA33" si="130">SUM(B23:B32)</f>
        <v>128791.72</v>
      </c>
      <c r="C33" s="428">
        <f t="shared" si="130"/>
        <v>1538300.64</v>
      </c>
      <c r="D33" s="428">
        <f t="shared" si="130"/>
        <v>1644751.0442879996</v>
      </c>
      <c r="E33" s="428">
        <f t="shared" si="130"/>
        <v>1758567.8165527293</v>
      </c>
      <c r="F33" s="428">
        <f t="shared" si="130"/>
        <v>1880260.7094581781</v>
      </c>
      <c r="G33" s="428">
        <f t="shared" si="130"/>
        <v>2010374.7505526838</v>
      </c>
      <c r="H33" s="428">
        <f t="shared" si="130"/>
        <v>2149492.6832909295</v>
      </c>
      <c r="I33" s="428">
        <f t="shared" si="130"/>
        <v>2298237.576974662</v>
      </c>
      <c r="J33" s="428">
        <f t="shared" si="130"/>
        <v>2457275.6173013081</v>
      </c>
      <c r="K33" s="428">
        <f t="shared" si="130"/>
        <v>2627319.0900185583</v>
      </c>
      <c r="L33" s="428">
        <f t="shared" si="130"/>
        <v>2809129.571047843</v>
      </c>
      <c r="M33" s="428">
        <f t="shared" si="130"/>
        <v>3003521.3373643532</v>
      </c>
      <c r="N33" s="428">
        <f t="shared" si="130"/>
        <v>3211365.0139099662</v>
      </c>
      <c r="O33" s="428">
        <f t="shared" si="130"/>
        <v>3433591.4728725357</v>
      </c>
      <c r="P33" s="428">
        <f t="shared" si="130"/>
        <v>3671196.0027953153</v>
      </c>
      <c r="Q33" s="428">
        <f t="shared" si="130"/>
        <v>3925242.7661887505</v>
      </c>
      <c r="R33" s="428">
        <f t="shared" si="130"/>
        <v>4196869.5656090109</v>
      </c>
      <c r="S33" s="428">
        <f t="shared" si="130"/>
        <v>4487292.9395491546</v>
      </c>
      <c r="T33" s="428">
        <f t="shared" si="130"/>
        <v>4797813.610965956</v>
      </c>
      <c r="U33" s="428">
        <f t="shared" si="130"/>
        <v>5129822.3128447989</v>
      </c>
      <c r="V33" s="428">
        <f t="shared" si="130"/>
        <v>5484806.0168936597</v>
      </c>
      <c r="W33" s="428">
        <f t="shared" si="130"/>
        <v>5864354.5932627022</v>
      </c>
      <c r="X33" s="428">
        <f t="shared" si="130"/>
        <v>6270167.9311164794</v>
      </c>
      <c r="Y33" s="428">
        <f t="shared" si="130"/>
        <v>6704063.5519497385</v>
      </c>
      <c r="Z33" s="428">
        <f t="shared" si="130"/>
        <v>7167984.7497446602</v>
      </c>
      <c r="AA33" s="428">
        <f t="shared" si="130"/>
        <v>7664009.2944269888</v>
      </c>
    </row>
    <row r="34" spans="1:27">
      <c r="A34" s="424"/>
      <c r="B34" s="430"/>
      <c r="C34" s="431"/>
      <c r="D34" s="431"/>
      <c r="E34" s="411"/>
      <c r="F34" s="411"/>
      <c r="G34" s="411"/>
      <c r="H34" s="411"/>
      <c r="I34" s="411"/>
      <c r="J34" s="411"/>
      <c r="K34" s="411"/>
      <c r="L34" s="411"/>
      <c r="M34" s="411"/>
      <c r="N34" s="411"/>
      <c r="O34" s="411"/>
      <c r="P34" s="411"/>
      <c r="Q34" s="411"/>
      <c r="R34" s="411"/>
      <c r="S34" s="411"/>
      <c r="T34" s="411"/>
      <c r="U34" s="411"/>
      <c r="V34" s="411"/>
      <c r="W34" s="411"/>
      <c r="X34" s="411"/>
      <c r="Y34" s="411"/>
      <c r="Z34" s="411"/>
      <c r="AA34" s="411"/>
    </row>
    <row r="35" spans="1:27">
      <c r="A35" s="432" t="s">
        <v>177</v>
      </c>
      <c r="B35" s="433">
        <f t="shared" ref="B35:AA35" si="131">B20+B33</f>
        <v>172162.12</v>
      </c>
      <c r="C35" s="433">
        <f t="shared" si="131"/>
        <v>2058745.44</v>
      </c>
      <c r="D35" s="433">
        <f t="shared" si="131"/>
        <v>2201210.6244479995</v>
      </c>
      <c r="E35" s="433">
        <f t="shared" si="131"/>
        <v>2353534.3996598013</v>
      </c>
      <c r="F35" s="433">
        <f t="shared" si="131"/>
        <v>2516398.9801162593</v>
      </c>
      <c r="G35" s="433">
        <f t="shared" si="131"/>
        <v>2690533.7895403043</v>
      </c>
      <c r="H35" s="433">
        <f t="shared" si="131"/>
        <v>2876718.7277764929</v>
      </c>
      <c r="I35" s="433">
        <f t="shared" si="131"/>
        <v>3075787.663738627</v>
      </c>
      <c r="J35" s="433">
        <f t="shared" si="131"/>
        <v>3288632.1700693388</v>
      </c>
      <c r="K35" s="433">
        <f t="shared" si="131"/>
        <v>3516205.5162381371</v>
      </c>
      <c r="L35" s="433">
        <f t="shared" si="131"/>
        <v>3759526.9379618163</v>
      </c>
      <c r="M35" s="433">
        <f t="shared" si="131"/>
        <v>4019686.2020687736</v>
      </c>
      <c r="N35" s="433">
        <f t="shared" si="131"/>
        <v>4297848.4872519327</v>
      </c>
      <c r="O35" s="433">
        <f t="shared" si="131"/>
        <v>4595259.6025697663</v>
      </c>
      <c r="P35" s="433">
        <f t="shared" si="131"/>
        <v>4913251.5670675933</v>
      </c>
      <c r="Q35" s="433">
        <f t="shared" si="131"/>
        <v>5253248.5755086709</v>
      </c>
      <c r="R35" s="433">
        <f t="shared" si="131"/>
        <v>5616773.376933869</v>
      </c>
      <c r="S35" s="433">
        <f t="shared" si="131"/>
        <v>6005454.0946176928</v>
      </c>
      <c r="T35" s="433">
        <f t="shared" si="131"/>
        <v>6421031.5179652367</v>
      </c>
      <c r="U35" s="433">
        <f t="shared" si="131"/>
        <v>6865366.8990084305</v>
      </c>
      <c r="V35" s="433">
        <f t="shared" si="131"/>
        <v>7340450.2884198148</v>
      </c>
      <c r="W35" s="433">
        <f t="shared" si="131"/>
        <v>7848409.4483784661</v>
      </c>
      <c r="X35" s="433">
        <f t="shared" si="131"/>
        <v>8391519.3822062537</v>
      </c>
      <c r="Y35" s="433">
        <f t="shared" si="131"/>
        <v>8972212.5234549269</v>
      </c>
      <c r="Z35" s="433">
        <f t="shared" si="131"/>
        <v>9593089.6300780065</v>
      </c>
      <c r="AA35" s="433">
        <f t="shared" si="131"/>
        <v>10256931.432479404</v>
      </c>
    </row>
    <row r="36" spans="1:27">
      <c r="A36" s="422"/>
      <c r="B36" s="411"/>
      <c r="C36" s="411"/>
      <c r="D36" s="411"/>
      <c r="E36" s="411"/>
      <c r="F36" s="411"/>
      <c r="G36" s="411"/>
      <c r="H36" s="411"/>
      <c r="I36" s="411"/>
      <c r="J36" s="411"/>
      <c r="K36" s="411"/>
      <c r="L36" s="411"/>
      <c r="M36" s="411"/>
      <c r="N36" s="411"/>
      <c r="O36" s="411"/>
      <c r="P36" s="411"/>
      <c r="Q36" s="411"/>
      <c r="R36" s="411"/>
      <c r="S36" s="411"/>
      <c r="T36" s="411"/>
      <c r="U36" s="411"/>
      <c r="V36" s="411"/>
      <c r="W36" s="411"/>
      <c r="X36" s="411"/>
      <c r="Y36" s="411"/>
      <c r="Z36" s="411"/>
      <c r="AA36" s="411"/>
    </row>
    <row r="37" spans="1:27">
      <c r="A37" s="434" t="s">
        <v>178</v>
      </c>
      <c r="B37" s="411"/>
      <c r="C37" s="423">
        <f>C35</f>
        <v>2058745.44</v>
      </c>
      <c r="D37" s="423">
        <f t="shared" ref="D37:AA37" si="132">+$B$37+D35</f>
        <v>2201210.6244479995</v>
      </c>
      <c r="E37" s="423">
        <f t="shared" si="132"/>
        <v>2353534.3996598013</v>
      </c>
      <c r="F37" s="423">
        <f t="shared" si="132"/>
        <v>2516398.9801162593</v>
      </c>
      <c r="G37" s="423">
        <f t="shared" si="132"/>
        <v>2690533.7895403043</v>
      </c>
      <c r="H37" s="423">
        <f t="shared" si="132"/>
        <v>2876718.7277764929</v>
      </c>
      <c r="I37" s="423">
        <f t="shared" si="132"/>
        <v>3075787.663738627</v>
      </c>
      <c r="J37" s="423">
        <f t="shared" si="132"/>
        <v>3288632.1700693388</v>
      </c>
      <c r="K37" s="423">
        <f t="shared" si="132"/>
        <v>3516205.5162381371</v>
      </c>
      <c r="L37" s="423">
        <f t="shared" si="132"/>
        <v>3759526.9379618163</v>
      </c>
      <c r="M37" s="423">
        <f t="shared" si="132"/>
        <v>4019686.2020687736</v>
      </c>
      <c r="N37" s="423">
        <f t="shared" si="132"/>
        <v>4297848.4872519327</v>
      </c>
      <c r="O37" s="423">
        <f t="shared" si="132"/>
        <v>4595259.6025697663</v>
      </c>
      <c r="P37" s="423">
        <f t="shared" si="132"/>
        <v>4913251.5670675933</v>
      </c>
      <c r="Q37" s="423">
        <f t="shared" si="132"/>
        <v>5253248.5755086709</v>
      </c>
      <c r="R37" s="423">
        <f t="shared" si="132"/>
        <v>5616773.376933869</v>
      </c>
      <c r="S37" s="423">
        <f t="shared" si="132"/>
        <v>6005454.0946176928</v>
      </c>
      <c r="T37" s="423">
        <f t="shared" si="132"/>
        <v>6421031.5179652367</v>
      </c>
      <c r="U37" s="423">
        <f t="shared" si="132"/>
        <v>6865366.8990084305</v>
      </c>
      <c r="V37" s="423">
        <f t="shared" si="132"/>
        <v>7340450.2884198148</v>
      </c>
      <c r="W37" s="423">
        <f t="shared" si="132"/>
        <v>7848409.4483784661</v>
      </c>
      <c r="X37" s="423">
        <f t="shared" si="132"/>
        <v>8391519.3822062537</v>
      </c>
      <c r="Y37" s="423">
        <f t="shared" si="132"/>
        <v>8972212.5234549269</v>
      </c>
      <c r="Z37" s="423">
        <f t="shared" si="132"/>
        <v>9593089.6300780065</v>
      </c>
      <c r="AA37" s="423">
        <f t="shared" si="132"/>
        <v>10256931.432479404</v>
      </c>
    </row>
    <row r="38" spans="1:27">
      <c r="A38" s="418" t="s">
        <v>181</v>
      </c>
      <c r="B38" s="387" t="s">
        <v>179</v>
      </c>
      <c r="C38" s="429" t="s">
        <v>131</v>
      </c>
      <c r="D38" s="388" t="s">
        <v>132</v>
      </c>
      <c r="E38" s="388" t="s">
        <v>133</v>
      </c>
      <c r="F38" s="388" t="s">
        <v>134</v>
      </c>
      <c r="G38" s="388" t="s">
        <v>135</v>
      </c>
      <c r="H38" s="388" t="s">
        <v>136</v>
      </c>
      <c r="I38" s="388" t="s">
        <v>137</v>
      </c>
      <c r="J38" s="388" t="s">
        <v>138</v>
      </c>
      <c r="K38" s="388" t="s">
        <v>139</v>
      </c>
      <c r="L38" s="388" t="s">
        <v>140</v>
      </c>
      <c r="M38" s="388" t="s">
        <v>141</v>
      </c>
      <c r="N38" s="388" t="s">
        <v>142</v>
      </c>
      <c r="O38" s="388" t="s">
        <v>143</v>
      </c>
      <c r="P38" s="388" t="s">
        <v>144</v>
      </c>
      <c r="Q38" s="388" t="s">
        <v>145</v>
      </c>
      <c r="R38" s="388" t="s">
        <v>146</v>
      </c>
      <c r="S38" s="388" t="s">
        <v>147</v>
      </c>
      <c r="T38" s="388" t="s">
        <v>148</v>
      </c>
      <c r="U38" s="388" t="s">
        <v>149</v>
      </c>
      <c r="V38" s="388" t="s">
        <v>150</v>
      </c>
      <c r="W38" s="388" t="s">
        <v>151</v>
      </c>
      <c r="X38" s="388" t="s">
        <v>152</v>
      </c>
      <c r="Y38" s="388" t="s">
        <v>153</v>
      </c>
      <c r="Z38" s="388" t="s">
        <v>154</v>
      </c>
      <c r="AA38" s="388" t="s">
        <v>155</v>
      </c>
    </row>
    <row r="39" spans="1:27">
      <c r="A39" s="422" t="s">
        <v>182</v>
      </c>
      <c r="B39" s="411"/>
      <c r="C39" s="411"/>
      <c r="D39" s="411"/>
      <c r="E39" s="411"/>
      <c r="F39" s="411"/>
      <c r="G39" s="411"/>
      <c r="H39" s="411"/>
      <c r="I39" s="411"/>
      <c r="J39" s="411"/>
      <c r="K39" s="411"/>
      <c r="L39" s="411"/>
      <c r="M39" s="411"/>
      <c r="N39" s="411"/>
      <c r="O39" s="411"/>
      <c r="P39" s="411"/>
      <c r="Q39" s="411"/>
      <c r="R39" s="411"/>
      <c r="S39" s="411"/>
      <c r="T39" s="411"/>
      <c r="U39" s="411"/>
      <c r="V39" s="411"/>
      <c r="W39" s="14"/>
      <c r="X39" s="14"/>
      <c r="Y39" s="14"/>
      <c r="Z39" s="14"/>
      <c r="AA39" s="14"/>
    </row>
    <row r="40" spans="1:27" s="39" customFormat="1">
      <c r="A40" s="422"/>
      <c r="B40" s="411"/>
      <c r="C40" s="411"/>
      <c r="D40" s="411"/>
      <c r="E40" s="411"/>
      <c r="F40" s="411"/>
      <c r="G40" s="411"/>
      <c r="H40" s="411"/>
      <c r="I40" s="411"/>
      <c r="J40" s="411"/>
      <c r="K40" s="411"/>
      <c r="L40" s="411"/>
      <c r="M40" s="411"/>
      <c r="N40" s="411"/>
      <c r="O40" s="411"/>
      <c r="P40" s="411"/>
      <c r="Q40" s="411"/>
      <c r="R40" s="411"/>
      <c r="S40" s="411"/>
      <c r="T40" s="411"/>
      <c r="U40" s="411"/>
      <c r="V40" s="411"/>
      <c r="W40" s="14"/>
      <c r="X40" s="14"/>
      <c r="Y40" s="14"/>
      <c r="Z40" s="14"/>
      <c r="AA40" s="14"/>
    </row>
    <row r="41" spans="1:27" s="39" customFormat="1" ht="32">
      <c r="A41" s="435" t="s">
        <v>185</v>
      </c>
      <c r="B41" s="411"/>
      <c r="C41" s="411"/>
      <c r="D41" s="411"/>
      <c r="E41" s="411"/>
      <c r="F41" s="411"/>
      <c r="G41" s="411"/>
      <c r="H41" s="411"/>
      <c r="I41" s="411"/>
      <c r="J41" s="411"/>
      <c r="K41" s="411"/>
      <c r="L41" s="411"/>
      <c r="M41" s="411"/>
      <c r="N41" s="411"/>
      <c r="O41" s="411"/>
      <c r="P41" s="411"/>
      <c r="Q41" s="411"/>
      <c r="R41" s="411"/>
      <c r="S41" s="411"/>
      <c r="T41" s="411"/>
      <c r="U41" s="411"/>
      <c r="V41" s="411"/>
      <c r="W41" s="14"/>
      <c r="X41" s="14"/>
      <c r="Y41" s="14"/>
      <c r="Z41" s="14"/>
      <c r="AA41" s="14"/>
    </row>
    <row r="42" spans="1:27">
      <c r="A42" s="424" t="s">
        <v>183</v>
      </c>
      <c r="B42" s="411"/>
      <c r="C42" s="411"/>
      <c r="D42" s="411"/>
      <c r="E42" s="411"/>
      <c r="F42" s="411"/>
      <c r="G42" s="411"/>
      <c r="H42" s="411"/>
      <c r="I42" s="411"/>
      <c r="J42" s="411"/>
      <c r="K42" s="411"/>
      <c r="L42" s="411"/>
      <c r="M42" s="411"/>
      <c r="N42" s="411"/>
      <c r="O42" s="411"/>
      <c r="P42" s="411"/>
      <c r="Q42" s="411"/>
      <c r="R42" s="411"/>
      <c r="S42" s="411"/>
      <c r="T42" s="411"/>
      <c r="U42" s="411"/>
      <c r="V42" s="411"/>
      <c r="W42" s="14"/>
      <c r="X42" s="14"/>
      <c r="Y42" s="14"/>
      <c r="Z42" s="14"/>
      <c r="AA42" s="14"/>
    </row>
    <row r="43" spans="1:27">
      <c r="A43" s="424" t="s">
        <v>187</v>
      </c>
      <c r="B43" s="411"/>
      <c r="C43" s="411"/>
      <c r="D43" s="411"/>
      <c r="E43" s="411"/>
      <c r="F43" s="411"/>
      <c r="G43" s="411"/>
      <c r="H43" s="411"/>
      <c r="I43" s="411"/>
      <c r="J43" s="411"/>
      <c r="K43" s="411"/>
      <c r="L43" s="411"/>
      <c r="M43" s="411"/>
      <c r="N43" s="411"/>
      <c r="O43" s="411"/>
      <c r="P43" s="411"/>
      <c r="Q43" s="411"/>
      <c r="R43" s="411"/>
      <c r="S43" s="411"/>
      <c r="T43" s="411"/>
      <c r="U43" s="411"/>
      <c r="V43" s="411"/>
      <c r="W43" s="14"/>
      <c r="X43" s="14"/>
      <c r="Y43" s="14"/>
      <c r="Z43" s="14"/>
      <c r="AA43" s="14"/>
    </row>
    <row r="44" spans="1:27" s="39" customFormat="1">
      <c r="A44" s="425" t="s">
        <v>188</v>
      </c>
      <c r="B44" s="411"/>
      <c r="C44" s="411"/>
      <c r="D44" s="411"/>
      <c r="E44" s="411"/>
      <c r="F44" s="411"/>
      <c r="G44" s="411"/>
      <c r="H44" s="411"/>
      <c r="I44" s="411"/>
      <c r="J44" s="411"/>
      <c r="K44" s="411"/>
      <c r="L44" s="411"/>
      <c r="M44" s="411"/>
      <c r="N44" s="411"/>
      <c r="O44" s="411"/>
      <c r="P44" s="411"/>
      <c r="Q44" s="411"/>
      <c r="R44" s="411"/>
      <c r="S44" s="411"/>
      <c r="T44" s="411"/>
      <c r="U44" s="411"/>
      <c r="V44" s="411"/>
      <c r="W44" s="14"/>
      <c r="X44" s="14"/>
      <c r="Y44" s="14"/>
      <c r="Z44" s="14"/>
      <c r="AA44" s="14"/>
    </row>
    <row r="45" spans="1:27">
      <c r="A45" s="14" t="s">
        <v>186</v>
      </c>
      <c r="B45" s="411"/>
      <c r="C45" s="411"/>
      <c r="D45" s="411"/>
      <c r="E45" s="411"/>
      <c r="F45" s="411"/>
      <c r="G45" s="411"/>
      <c r="H45" s="411"/>
      <c r="I45" s="411"/>
      <c r="J45" s="411"/>
      <c r="K45" s="411"/>
      <c r="L45" s="411"/>
      <c r="M45" s="411"/>
      <c r="N45" s="411"/>
      <c r="O45" s="411"/>
      <c r="P45" s="411"/>
      <c r="Q45" s="411"/>
      <c r="R45" s="411"/>
      <c r="S45" s="411"/>
      <c r="T45" s="411"/>
      <c r="U45" s="411"/>
      <c r="V45" s="411"/>
      <c r="W45" s="14"/>
      <c r="X45" s="14"/>
      <c r="Y45" s="14"/>
      <c r="Z45" s="14"/>
      <c r="AA45" s="14"/>
    </row>
    <row r="46" spans="1:27">
      <c r="A46" s="424" t="s">
        <v>184</v>
      </c>
      <c r="B46" s="411"/>
      <c r="C46" s="411"/>
      <c r="D46" s="411"/>
      <c r="E46" s="411"/>
      <c r="F46" s="411"/>
      <c r="G46" s="411"/>
      <c r="H46" s="411"/>
      <c r="I46" s="411"/>
      <c r="J46" s="411"/>
      <c r="K46" s="411"/>
      <c r="L46" s="411"/>
      <c r="M46" s="411"/>
      <c r="N46" s="411"/>
      <c r="O46" s="411"/>
      <c r="P46" s="411"/>
      <c r="Q46" s="411"/>
      <c r="R46" s="411"/>
      <c r="S46" s="411"/>
      <c r="T46" s="411"/>
      <c r="U46" s="411"/>
      <c r="V46" s="411"/>
      <c r="W46" s="14"/>
      <c r="X46" s="14"/>
      <c r="Y46" s="14"/>
      <c r="Z46" s="14"/>
      <c r="AA46" s="14"/>
    </row>
    <row r="47" spans="1:27">
      <c r="A47" s="422"/>
      <c r="B47" s="411"/>
      <c r="C47" s="411"/>
      <c r="D47" s="411"/>
      <c r="E47" s="411"/>
      <c r="F47" s="411"/>
      <c r="G47" s="411"/>
      <c r="H47" s="411"/>
      <c r="I47" s="411"/>
      <c r="J47" s="411"/>
      <c r="K47" s="411"/>
      <c r="L47" s="411"/>
      <c r="M47" s="411"/>
      <c r="N47" s="411"/>
      <c r="O47" s="411"/>
      <c r="P47" s="411"/>
      <c r="Q47" s="411"/>
      <c r="R47" s="411"/>
      <c r="S47" s="411"/>
      <c r="T47" s="411"/>
      <c r="U47" s="411"/>
      <c r="V47" s="411"/>
      <c r="W47" s="14"/>
      <c r="X47" s="14"/>
      <c r="Y47" s="14"/>
      <c r="Z47" s="14"/>
      <c r="AA47" s="14"/>
    </row>
    <row r="48" spans="1:27">
      <c r="A48" s="422"/>
      <c r="B48" s="411"/>
      <c r="C48" s="411"/>
      <c r="D48" s="411"/>
      <c r="E48" s="411"/>
      <c r="F48" s="411"/>
      <c r="G48" s="411"/>
      <c r="H48" s="411"/>
      <c r="I48" s="411"/>
      <c r="J48" s="411"/>
      <c r="K48" s="411"/>
      <c r="L48" s="411"/>
      <c r="M48" s="411"/>
      <c r="N48" s="411"/>
      <c r="O48" s="411"/>
      <c r="P48" s="411"/>
      <c r="Q48" s="411"/>
      <c r="R48" s="411"/>
      <c r="S48" s="411"/>
      <c r="T48" s="411"/>
      <c r="U48" s="411"/>
      <c r="V48" s="411"/>
      <c r="W48" s="14"/>
      <c r="X48" s="14"/>
      <c r="Y48" s="14"/>
      <c r="Z48" s="14"/>
      <c r="AA48" s="14"/>
    </row>
    <row r="49" spans="1:22">
      <c r="A49" s="113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</row>
    <row r="50" spans="1:22">
      <c r="A50" s="113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</row>
    <row r="51" spans="1:22">
      <c r="A51" s="113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</row>
    <row r="52" spans="1:22">
      <c r="A52" s="113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</row>
    <row r="53" spans="1:22">
      <c r="A53" s="113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</row>
    <row r="54" spans="1:22">
      <c r="A54" s="113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</row>
    <row r="55" spans="1:22">
      <c r="A55" s="113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</row>
    <row r="56" spans="1:22">
      <c r="A56" s="113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</row>
    <row r="57" spans="1:22">
      <c r="A57" s="113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</row>
    <row r="58" spans="1:22">
      <c r="A58" s="113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</row>
    <row r="59" spans="1:22">
      <c r="A59" s="113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</row>
    <row r="60" spans="1:22">
      <c r="A60" s="113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</row>
    <row r="61" spans="1:22">
      <c r="A61" s="113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</row>
    <row r="62" spans="1:22">
      <c r="A62" s="113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</row>
    <row r="63" spans="1:22">
      <c r="A63" s="113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</row>
    <row r="64" spans="1:22">
      <c r="A64" s="113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</row>
    <row r="65" spans="1:22">
      <c r="A65" s="113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</row>
    <row r="66" spans="1:22">
      <c r="A66" s="113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</row>
    <row r="67" spans="1:22">
      <c r="A67" s="113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</row>
    <row r="68" spans="1:22">
      <c r="A68" s="113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</row>
    <row r="69" spans="1:22">
      <c r="A69" s="113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</row>
    <row r="70" spans="1:22">
      <c r="A70" s="113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</row>
    <row r="71" spans="1:22">
      <c r="A71" s="113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</row>
    <row r="72" spans="1:22">
      <c r="A72" s="113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</row>
    <row r="73" spans="1:22">
      <c r="A73" s="113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</row>
    <row r="74" spans="1:22">
      <c r="A74" s="113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</row>
    <row r="75" spans="1:22">
      <c r="A75" s="113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</row>
    <row r="76" spans="1:22">
      <c r="A76" s="113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</row>
    <row r="77" spans="1:22">
      <c r="A77" s="113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</row>
    <row r="78" spans="1:22">
      <c r="A78" s="113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</row>
    <row r="79" spans="1:22">
      <c r="A79" s="113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</row>
    <row r="80" spans="1:22">
      <c r="A80" s="113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</row>
    <row r="81" spans="1:22">
      <c r="A81" s="113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</row>
    <row r="82" spans="1:22">
      <c r="A82" s="113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</row>
    <row r="83" spans="1:22">
      <c r="A83" s="113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</row>
    <row r="84" spans="1:22">
      <c r="A84" s="113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</row>
    <row r="85" spans="1:22">
      <c r="A85" s="113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</row>
    <row r="86" spans="1:22">
      <c r="A86" s="113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</row>
    <row r="87" spans="1:22">
      <c r="A87" s="113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</row>
    <row r="88" spans="1:22">
      <c r="A88" s="113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</row>
    <row r="89" spans="1:22">
      <c r="A89" s="113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</row>
    <row r="90" spans="1:22">
      <c r="A90" s="113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</row>
    <row r="91" spans="1:22">
      <c r="A91" s="113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</row>
    <row r="92" spans="1:22">
      <c r="A92" s="113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</row>
    <row r="93" spans="1:22">
      <c r="A93" s="113"/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</row>
    <row r="94" spans="1:22">
      <c r="A94" s="113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</row>
    <row r="95" spans="1:22">
      <c r="A95" s="113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</row>
    <row r="96" spans="1:22">
      <c r="A96" s="113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</row>
    <row r="97" spans="1:22">
      <c r="A97" s="113"/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</row>
    <row r="98" spans="1:22">
      <c r="A98" s="113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</row>
    <row r="99" spans="1:22">
      <c r="A99" s="113"/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</row>
    <row r="100" spans="1:22">
      <c r="A100" s="113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</row>
    <row r="101" spans="1:22">
      <c r="A101" s="113"/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</row>
    <row r="102" spans="1:22">
      <c r="A102" s="113"/>
    </row>
  </sheetData>
  <mergeCells count="1">
    <mergeCell ref="A1:F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56"/>
  <sheetViews>
    <sheetView workbookViewId="0">
      <selection activeCell="F26" sqref="F26"/>
    </sheetView>
  </sheetViews>
  <sheetFormatPr baseColWidth="10" defaultColWidth="8.83203125" defaultRowHeight="15"/>
  <cols>
    <col min="1" max="1" width="38.83203125" customWidth="1"/>
    <col min="2" max="2" width="12.33203125" customWidth="1"/>
    <col min="3" max="3" width="10" bestFit="1" customWidth="1"/>
    <col min="4" max="4" width="19.5" customWidth="1"/>
    <col min="5" max="5" width="14.33203125" customWidth="1"/>
    <col min="6" max="6" width="15.5" customWidth="1"/>
    <col min="7" max="7" width="27.5" customWidth="1"/>
    <col min="8" max="8" width="12.5" customWidth="1"/>
    <col min="9" max="9" width="15.5" customWidth="1"/>
    <col min="10" max="11" width="12.1640625" bestFit="1" customWidth="1"/>
    <col min="12" max="12" width="13.33203125" customWidth="1"/>
    <col min="13" max="24" width="12.1640625" bestFit="1" customWidth="1"/>
    <col min="25" max="28" width="12.6640625" bestFit="1" customWidth="1"/>
  </cols>
  <sheetData>
    <row r="1" spans="1:28">
      <c r="A1" s="504" t="s">
        <v>413</v>
      </c>
      <c r="B1" s="504"/>
      <c r="C1" s="14"/>
      <c r="D1" s="504" t="s">
        <v>417</v>
      </c>
      <c r="E1" s="504"/>
      <c r="F1" s="14"/>
      <c r="G1" s="504" t="s">
        <v>419</v>
      </c>
      <c r="H1" s="504"/>
    </row>
    <row r="2" spans="1:28">
      <c r="A2" s="14" t="s">
        <v>414</v>
      </c>
      <c r="B2" s="109">
        <v>0.18</v>
      </c>
      <c r="C2" s="14"/>
      <c r="D2" s="14" t="s">
        <v>418</v>
      </c>
      <c r="E2" s="109">
        <v>0.05</v>
      </c>
      <c r="F2" s="14"/>
      <c r="G2" s="14" t="s">
        <v>420</v>
      </c>
      <c r="H2" s="109">
        <v>0.15</v>
      </c>
    </row>
    <row r="3" spans="1:28">
      <c r="A3" s="14" t="s">
        <v>415</v>
      </c>
      <c r="B3" s="386">
        <v>1.6500000000000001E-2</v>
      </c>
      <c r="C3" s="14"/>
      <c r="D3" s="14" t="s">
        <v>415</v>
      </c>
      <c r="E3" s="386">
        <v>1.6500000000000001E-2</v>
      </c>
      <c r="F3" s="14"/>
      <c r="G3" s="14" t="s">
        <v>421</v>
      </c>
      <c r="H3" s="109">
        <v>0.25</v>
      </c>
    </row>
    <row r="4" spans="1:28">
      <c r="A4" s="14" t="s">
        <v>416</v>
      </c>
      <c r="B4" s="386">
        <v>7.5999999999999998E-2</v>
      </c>
      <c r="C4" s="14"/>
      <c r="D4" s="14" t="s">
        <v>416</v>
      </c>
      <c r="E4" s="386">
        <v>7.5999999999999998E-2</v>
      </c>
      <c r="F4" s="14"/>
      <c r="G4" s="14" t="s">
        <v>422</v>
      </c>
      <c r="H4" s="109">
        <v>0.09</v>
      </c>
    </row>
    <row r="6" spans="1:28" s="39" customFormat="1"/>
    <row r="7" spans="1:28">
      <c r="A7" s="117" t="s">
        <v>413</v>
      </c>
      <c r="B7" s="115"/>
      <c r="C7" s="116" t="s">
        <v>189</v>
      </c>
      <c r="D7" s="116" t="s">
        <v>190</v>
      </c>
      <c r="E7" s="116" t="s">
        <v>191</v>
      </c>
      <c r="F7" s="116" t="s">
        <v>192</v>
      </c>
      <c r="G7" s="116" t="s">
        <v>193</v>
      </c>
      <c r="H7" s="116" t="s">
        <v>194</v>
      </c>
      <c r="I7" s="116" t="s">
        <v>195</v>
      </c>
      <c r="J7" s="116" t="s">
        <v>196</v>
      </c>
      <c r="K7" s="116" t="s">
        <v>197</v>
      </c>
      <c r="L7" s="116" t="s">
        <v>198</v>
      </c>
      <c r="M7" s="116" t="s">
        <v>199</v>
      </c>
      <c r="N7" s="116" t="s">
        <v>210</v>
      </c>
      <c r="O7" s="116" t="s">
        <v>211</v>
      </c>
      <c r="P7" s="116" t="s">
        <v>212</v>
      </c>
      <c r="Q7" s="116" t="s">
        <v>213</v>
      </c>
      <c r="R7" s="116" t="s">
        <v>214</v>
      </c>
      <c r="S7" s="116" t="s">
        <v>215</v>
      </c>
      <c r="T7" s="116" t="s">
        <v>216</v>
      </c>
      <c r="U7" s="116" t="s">
        <v>217</v>
      </c>
      <c r="V7" s="116" t="s">
        <v>218</v>
      </c>
      <c r="W7" s="116" t="s">
        <v>219</v>
      </c>
      <c r="X7" s="116" t="s">
        <v>220</v>
      </c>
      <c r="Y7" s="116" t="s">
        <v>221</v>
      </c>
      <c r="Z7" s="116" t="s">
        <v>222</v>
      </c>
      <c r="AA7" s="116" t="s">
        <v>223</v>
      </c>
      <c r="AB7" s="116" t="s">
        <v>224</v>
      </c>
    </row>
    <row r="8" spans="1:28">
      <c r="A8" s="14" t="s">
        <v>539</v>
      </c>
      <c r="B8" s="14"/>
      <c r="C8" s="120">
        <f>SUM(DRE!C6:C7)</f>
        <v>0</v>
      </c>
      <c r="D8" s="120">
        <f>SUM(DRE!D6:D7)</f>
        <v>7629703.5485002873</v>
      </c>
      <c r="E8" s="120">
        <f>SUM(DRE!E6:E7)</f>
        <v>8223756.580949327</v>
      </c>
      <c r="F8" s="120">
        <f>SUM(DRE!F6:F7)</f>
        <v>8864061.156558536</v>
      </c>
      <c r="G8" s="120">
        <f>SUM(DRE!G6:G7)</f>
        <v>9554223.6873732992</v>
      </c>
      <c r="H8" s="120">
        <f>SUM(DRE!H6:H7)</f>
        <v>10298118.569870912</v>
      </c>
      <c r="I8" s="120">
        <f>SUM(DRE!I6:I7)</f>
        <v>11099935.423203848</v>
      </c>
      <c r="J8" s="120">
        <f>SUM(DRE!J6:J7)</f>
        <v>11964183.555840068</v>
      </c>
      <c r="K8" s="120">
        <f>SUM(DRE!K6:K7)</f>
        <v>12895721.933807924</v>
      </c>
      <c r="L8" s="120">
        <f>SUM(DRE!L6:L7)</f>
        <v>13899788.718994239</v>
      </c>
      <c r="M8" s="120">
        <f>SUM(DRE!M6:M7)</f>
        <v>14982033.883039614</v>
      </c>
      <c r="N8" s="120">
        <f>SUM(DRE!N6:N7)</f>
        <v>16148542.79365674</v>
      </c>
      <c r="O8" s="120">
        <f>SUM(DRE!O6:O7)</f>
        <v>17405874.759687897</v>
      </c>
      <c r="P8" s="120">
        <f>SUM(DRE!P6:P7)</f>
        <v>18761104.020739909</v>
      </c>
      <c r="Q8" s="120">
        <f>SUM(DRE!Q6:Q7)</f>
        <v>20221857.975661274</v>
      </c>
      <c r="R8" s="120">
        <f>SUM(DRE!R6:R7)</f>
        <v>21796336.369840425</v>
      </c>
      <c r="S8" s="120">
        <f>SUM(DRE!S6:S7)</f>
        <v>23493412.004090022</v>
      </c>
      <c r="T8" s="120">
        <f>SUM(DRE!T6:T7)</f>
        <v>25322619.758331873</v>
      </c>
      <c r="U8" s="120">
        <f>SUM(DRE!U6:U7)</f>
        <v>27294253.129933558</v>
      </c>
      <c r="V8" s="120">
        <f>SUM(DRE!V6:V7)</f>
        <v>29419396.882500365</v>
      </c>
      <c r="W8" s="120">
        <f>SUM(DRE!W6:W7)</f>
        <v>31710008.840698931</v>
      </c>
      <c r="X8" s="120">
        <f>SUM(DRE!X6:X7)</f>
        <v>34178967.997069322</v>
      </c>
      <c r="Y8" s="120">
        <f>SUM(DRE!Y6:Y7)</f>
        <v>36840156.092791416</v>
      </c>
      <c r="Z8" s="120">
        <f>SUM(DRE!Z6:Z7)</f>
        <v>39708556.02694203</v>
      </c>
      <c r="AA8" s="120">
        <f>SUM(DRE!AA6:AA7)</f>
        <v>42800285.460521787</v>
      </c>
      <c r="AB8" s="120">
        <f>SUM(DRE!AB6:AB7)</f>
        <v>46132736.589183584</v>
      </c>
    </row>
    <row r="9" spans="1:28">
      <c r="A9" s="14" t="s">
        <v>462</v>
      </c>
      <c r="B9" s="14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</row>
    <row r="10" spans="1:28">
      <c r="A10" s="14" t="s">
        <v>463</v>
      </c>
      <c r="B10" s="14"/>
      <c r="C10" s="120"/>
      <c r="D10" s="120">
        <f>-'Custos de Operação'!C$6-'Custos de Operação'!C$26-'Invest. em Pre e Implantação'!$F$80</f>
        <v>-15813141.240000002</v>
      </c>
      <c r="E10" s="120">
        <f>-'Custos de Operação'!D$6-'Custos de Operação'!D$26</f>
        <v>-968849.16479999991</v>
      </c>
      <c r="F10" s="120">
        <f>-'Custos de Operação'!E$6-'Custos de Operação'!E$26</f>
        <v>-1035893.5270041598</v>
      </c>
      <c r="G10" s="120">
        <f>-'Custos de Operação'!F$6-'Custos de Operação'!F$26</f>
        <v>-1107577.3590728475</v>
      </c>
      <c r="H10" s="120">
        <f>-'Custos de Operação'!G$6-'Custos de Operação'!G$26</f>
        <v>-1184221.7123206886</v>
      </c>
      <c r="I10" s="120">
        <f>-'Custos de Operação'!H$6-'Custos de Operação'!H$26</f>
        <v>-1266169.85481328</v>
      </c>
      <c r="J10" s="120">
        <f>-'Custos de Operação'!I$6-'Custos de Operação'!I$26</f>
        <v>-1353788.8087663592</v>
      </c>
      <c r="K10" s="120">
        <f>-'Custos de Operação'!J$6-'Custos de Operação'!J$26</f>
        <v>-1447470.9943329911</v>
      </c>
      <c r="L10" s="120">
        <f>-'Custos de Operação'!K$6-'Custos de Operação'!K$26</f>
        <v>-1547635.9871408341</v>
      </c>
      <c r="M10" s="120">
        <f>-'Custos de Operação'!L$6-'Custos de Operação'!L$26</f>
        <v>-1654732.3974509798</v>
      </c>
      <c r="N10" s="120">
        <f>-'Custos de Operação'!M$6-'Custos de Operação'!M$26-Reinvestimento!$I$18</f>
        <v>-4375233.9184404975</v>
      </c>
      <c r="O10" s="120">
        <f>-'Custos de Operação'!N$6-'Custos de Operação'!N$26</f>
        <v>-1891671.2790059247</v>
      </c>
      <c r="P10" s="120">
        <f>-'Custos de Operação'!O$6-'Custos de Operação'!O$26</f>
        <v>-2022574.9315131344</v>
      </c>
      <c r="Q10" s="120">
        <f>-'Custos de Operação'!P$6-'Custos de Operação'!P$26</f>
        <v>-2162537.1167738433</v>
      </c>
      <c r="R10" s="120">
        <f>-'Custos de Operação'!Q$6-'Custos de Operação'!Q$26</f>
        <v>-2312184.6852545929</v>
      </c>
      <c r="S10" s="120">
        <f>-'Custos de Operação'!R$6-'Custos de Operação'!R$26</f>
        <v>-2472187.8654742106</v>
      </c>
      <c r="T10" s="120">
        <f>-'Custos de Operação'!S$6-'Custos de Operação'!S$26</f>
        <v>-2643263.2657650257</v>
      </c>
      <c r="U10" s="120">
        <f>-'Custos de Operação'!T$6-'Custos de Operação'!T$26</f>
        <v>-2826177.0837559653</v>
      </c>
      <c r="V10" s="120">
        <f>-'Custos de Operação'!U$6-'Custos de Operação'!U$26</f>
        <v>-3021748.5379518778</v>
      </c>
      <c r="W10" s="120">
        <f>-'Custos de Operação'!V$6-'Custos de Operação'!V$26</f>
        <v>-3230853.5367781478</v>
      </c>
      <c r="X10" s="120">
        <f>-'Custos de Operação'!W$6-'Custos de Operação'!W$26</f>
        <v>-3454428.6015231954</v>
      </c>
      <c r="Y10" s="120">
        <f>-'Custos de Operação'!X$6-'Custos de Operação'!X$26</f>
        <v>-3693475.0607486004</v>
      </c>
      <c r="Z10" s="120">
        <f>-'Custos de Operação'!Y$6-'Custos de Operação'!Y$26</f>
        <v>-3949063.534952403</v>
      </c>
      <c r="AA10" s="120">
        <f>-'Custos de Operação'!Z$6-'Custos de Operação'!Z$26</f>
        <v>-4222338.731571109</v>
      </c>
      <c r="AB10" s="120">
        <f>-'Custos de Operação'!AA$6-'Custos de Operação'!AA$26</f>
        <v>-4514524.5717958286</v>
      </c>
    </row>
    <row r="11" spans="1:28">
      <c r="A11" s="14" t="s">
        <v>464</v>
      </c>
      <c r="B11" s="14"/>
      <c r="C11" s="120"/>
      <c r="D11" s="120">
        <f>-'Custos de Operação'!C$6-'Custos de Operação'!C$26-'Invest. em Pre e Implantação'!$F$80</f>
        <v>-15813141.240000002</v>
      </c>
      <c r="E11" s="120">
        <f>-'Custos de Operação'!D$6-'Custos de Operação'!D$26</f>
        <v>-968849.16479999991</v>
      </c>
      <c r="F11" s="120">
        <f>-'Custos de Operação'!E$6-'Custos de Operação'!E$26</f>
        <v>-1035893.5270041598</v>
      </c>
      <c r="G11" s="120">
        <f>-'Custos de Operação'!F$6-'Custos de Operação'!F$26</f>
        <v>-1107577.3590728475</v>
      </c>
      <c r="H11" s="120">
        <f>-'Custos de Operação'!G$6-'Custos de Operação'!G$26</f>
        <v>-1184221.7123206886</v>
      </c>
      <c r="I11" s="120">
        <f>-'Custos de Operação'!H$6-'Custos de Operação'!H$26</f>
        <v>-1266169.85481328</v>
      </c>
      <c r="J11" s="120">
        <f>-'Custos de Operação'!I$6-'Custos de Operação'!I$26</f>
        <v>-1353788.8087663592</v>
      </c>
      <c r="K11" s="120">
        <f>-'Custos de Operação'!J$6-'Custos de Operação'!J$26</f>
        <v>-1447470.9943329911</v>
      </c>
      <c r="L11" s="120">
        <f>-'Custos de Operação'!K$6-'Custos de Operação'!K$26</f>
        <v>-1547635.9871408341</v>
      </c>
      <c r="M11" s="120">
        <f>-'Custos de Operação'!L$6-'Custos de Operação'!L$26</f>
        <v>-1654732.3974509798</v>
      </c>
      <c r="N11" s="120">
        <f>-'Custos de Operação'!M$6-'Custos de Operação'!M$26-Reinvestimento!$I$18</f>
        <v>-4375233.9184404975</v>
      </c>
      <c r="O11" s="120">
        <f>-'Custos de Operação'!N$6-'Custos de Operação'!N$26</f>
        <v>-1891671.2790059247</v>
      </c>
      <c r="P11" s="120">
        <f>-'Custos de Operação'!O$6-'Custos de Operação'!O$26</f>
        <v>-2022574.9315131344</v>
      </c>
      <c r="Q11" s="120">
        <f>-'Custos de Operação'!P$6-'Custos de Operação'!P$26</f>
        <v>-2162537.1167738433</v>
      </c>
      <c r="R11" s="120">
        <f>-'Custos de Operação'!Q$6-'Custos de Operação'!Q$26</f>
        <v>-2312184.6852545929</v>
      </c>
      <c r="S11" s="120">
        <f>-'Custos de Operação'!R$6-'Custos de Operação'!R$26</f>
        <v>-2472187.8654742106</v>
      </c>
      <c r="T11" s="120">
        <f>-'Custos de Operação'!S$6-'Custos de Operação'!S$26</f>
        <v>-2643263.2657650257</v>
      </c>
      <c r="U11" s="120">
        <f>-'Custos de Operação'!T$6-'Custos de Operação'!T$26</f>
        <v>-2826177.0837559653</v>
      </c>
      <c r="V11" s="120">
        <f>-'Custos de Operação'!U$6-'Custos de Operação'!U$26</f>
        <v>-3021748.5379518778</v>
      </c>
      <c r="W11" s="120">
        <f>-'Custos de Operação'!V$6-'Custos de Operação'!V$26</f>
        <v>-3230853.5367781478</v>
      </c>
      <c r="X11" s="120">
        <f>-'Custos de Operação'!W$6-'Custos de Operação'!W$26</f>
        <v>-3454428.6015231954</v>
      </c>
      <c r="Y11" s="120">
        <f>-'Custos de Operação'!X$6-'Custos de Operação'!X$26</f>
        <v>-3693475.0607486004</v>
      </c>
      <c r="Z11" s="120">
        <f>-'Custos de Operação'!Y$6-'Custos de Operação'!Y$26</f>
        <v>-3949063.534952403</v>
      </c>
      <c r="AA11" s="120">
        <f>-'Custos de Operação'!Z$6-'Custos de Operação'!Z$26</f>
        <v>-4222338.731571109</v>
      </c>
      <c r="AB11" s="120">
        <f>-'Custos de Operação'!AA$6-'Custos de Operação'!AA$26</f>
        <v>-4514524.5717958286</v>
      </c>
    </row>
    <row r="12" spans="1:28">
      <c r="A12" s="14" t="s">
        <v>465</v>
      </c>
      <c r="B12" s="14"/>
      <c r="C12" s="120">
        <f>-$B2*(C$8-C9)</f>
        <v>0</v>
      </c>
      <c r="D12" s="120">
        <f>-$B2*(D$8+D9)</f>
        <v>-1373346.6387300517</v>
      </c>
      <c r="E12" s="120">
        <f t="shared" ref="E12:AB12" si="0">-$B2*(E$8+E9)</f>
        <v>-1480276.1845708787</v>
      </c>
      <c r="F12" s="120">
        <f t="shared" si="0"/>
        <v>-1595531.0081805363</v>
      </c>
      <c r="G12" s="120">
        <f t="shared" si="0"/>
        <v>-1719760.2637271937</v>
      </c>
      <c r="H12" s="120">
        <f t="shared" si="0"/>
        <v>-1853661.3425767641</v>
      </c>
      <c r="I12" s="120">
        <f t="shared" si="0"/>
        <v>-1997988.3761766925</v>
      </c>
      <c r="J12" s="120">
        <f t="shared" si="0"/>
        <v>-2153553.0400512121</v>
      </c>
      <c r="K12" s="120">
        <f t="shared" si="0"/>
        <v>-2321229.9480854264</v>
      </c>
      <c r="L12" s="120">
        <f t="shared" si="0"/>
        <v>-2501961.969418963</v>
      </c>
      <c r="M12" s="120">
        <f t="shared" si="0"/>
        <v>-2696766.0989471306</v>
      </c>
      <c r="N12" s="120">
        <f t="shared" si="0"/>
        <v>-2906737.7028582133</v>
      </c>
      <c r="O12" s="120">
        <f t="shared" si="0"/>
        <v>-3133057.4567438215</v>
      </c>
      <c r="P12" s="120">
        <f t="shared" si="0"/>
        <v>-3376998.7237331835</v>
      </c>
      <c r="Q12" s="120">
        <f t="shared" si="0"/>
        <v>-3639934.4356190292</v>
      </c>
      <c r="R12" s="120">
        <f t="shared" si="0"/>
        <v>-3923340.5465712762</v>
      </c>
      <c r="S12" s="120">
        <f t="shared" si="0"/>
        <v>-4228814.1607362041</v>
      </c>
      <c r="T12" s="120">
        <f t="shared" si="0"/>
        <v>-4558071.5564997373</v>
      </c>
      <c r="U12" s="120">
        <f t="shared" si="0"/>
        <v>-4912965.5633880403</v>
      </c>
      <c r="V12" s="120">
        <f t="shared" si="0"/>
        <v>-5295491.4388500657</v>
      </c>
      <c r="W12" s="120">
        <f t="shared" si="0"/>
        <v>-5707801.5913258074</v>
      </c>
      <c r="X12" s="120">
        <f t="shared" si="0"/>
        <v>-6152214.2394724777</v>
      </c>
      <c r="Y12" s="120">
        <f t="shared" si="0"/>
        <v>-6631228.0967024546</v>
      </c>
      <c r="Z12" s="120">
        <f t="shared" si="0"/>
        <v>-7147540.0848495653</v>
      </c>
      <c r="AA12" s="120">
        <f t="shared" si="0"/>
        <v>-7704051.3828939218</v>
      </c>
      <c r="AB12" s="120">
        <f t="shared" si="0"/>
        <v>-8303892.5860530445</v>
      </c>
    </row>
    <row r="13" spans="1:28">
      <c r="A13" s="14" t="s">
        <v>466</v>
      </c>
      <c r="B13" s="14"/>
      <c r="C13" s="120">
        <f>-$B3*(C$8-C10)</f>
        <v>0</v>
      </c>
      <c r="D13" s="120">
        <f>IF(D$8+D10&gt;0,-$B3*(D$8+D10),0)</f>
        <v>0</v>
      </c>
      <c r="E13" s="120">
        <f t="shared" ref="E13:AB13" si="1">IF(E$8+E10&gt;0,-$B3*(E$8+E10),0)</f>
        <v>-119705.97236646392</v>
      </c>
      <c r="F13" s="120">
        <f t="shared" si="1"/>
        <v>-129164.76588764721</v>
      </c>
      <c r="G13" s="120">
        <f t="shared" si="1"/>
        <v>-139369.66441695747</v>
      </c>
      <c r="H13" s="120">
        <f t="shared" si="1"/>
        <v>-150379.29814957868</v>
      </c>
      <c r="I13" s="120">
        <f t="shared" si="1"/>
        <v>-162257.1318784444</v>
      </c>
      <c r="J13" s="120">
        <f t="shared" si="1"/>
        <v>-175071.5133267162</v>
      </c>
      <c r="K13" s="120">
        <f t="shared" si="1"/>
        <v>-188896.1405013364</v>
      </c>
      <c r="L13" s="120">
        <f t="shared" si="1"/>
        <v>-203810.52007558118</v>
      </c>
      <c r="M13" s="120">
        <f t="shared" si="1"/>
        <v>-219900.47451221247</v>
      </c>
      <c r="N13" s="120">
        <f t="shared" si="1"/>
        <v>-194259.59644106799</v>
      </c>
      <c r="O13" s="120">
        <f t="shared" si="1"/>
        <v>-255984.35743125255</v>
      </c>
      <c r="P13" s="120">
        <f t="shared" si="1"/>
        <v>-276185.7299722418</v>
      </c>
      <c r="Q13" s="120">
        <f t="shared" si="1"/>
        <v>-297978.79417164263</v>
      </c>
      <c r="R13" s="120">
        <f t="shared" si="1"/>
        <v>-321488.50279566622</v>
      </c>
      <c r="S13" s="120">
        <f t="shared" si="1"/>
        <v>-346850.19828716095</v>
      </c>
      <c r="T13" s="120">
        <f t="shared" si="1"/>
        <v>-374209.38212735299</v>
      </c>
      <c r="U13" s="120">
        <f t="shared" si="1"/>
        <v>-403723.25476193026</v>
      </c>
      <c r="V13" s="120">
        <f t="shared" si="1"/>
        <v>-435561.19768505002</v>
      </c>
      <c r="W13" s="120">
        <f t="shared" si="1"/>
        <v>-469906.06251469295</v>
      </c>
      <c r="X13" s="120">
        <f t="shared" si="1"/>
        <v>-506954.90002651111</v>
      </c>
      <c r="Y13" s="120">
        <f t="shared" si="1"/>
        <v>-546920.23702870647</v>
      </c>
      <c r="Z13" s="120">
        <f t="shared" si="1"/>
        <v>-590031.62611782888</v>
      </c>
      <c r="AA13" s="120">
        <f t="shared" si="1"/>
        <v>-636536.12102768628</v>
      </c>
      <c r="AB13" s="120">
        <f t="shared" si="1"/>
        <v>-686700.49828689802</v>
      </c>
    </row>
    <row r="14" spans="1:28">
      <c r="A14" s="14" t="s">
        <v>467</v>
      </c>
      <c r="B14" s="14"/>
      <c r="C14" s="120">
        <f t="shared" ref="C14" si="2">-$B4*(C$8-C11)</f>
        <v>0</v>
      </c>
      <c r="D14" s="120">
        <f>IF(D$8+D11&gt;0,-$B4*(D$8+D11),0)</f>
        <v>0</v>
      </c>
      <c r="E14" s="120">
        <f t="shared" ref="E14:AB14" si="3">IF(E$8+E11&gt;0,-$B4*(E$8+E11),0)</f>
        <v>-551372.96362734889</v>
      </c>
      <c r="F14" s="120">
        <f t="shared" si="3"/>
        <v>-594940.73984613258</v>
      </c>
      <c r="G14" s="120">
        <f t="shared" si="3"/>
        <v>-641945.12095083436</v>
      </c>
      <c r="H14" s="120">
        <f t="shared" si="3"/>
        <v>-692656.16117381689</v>
      </c>
      <c r="I14" s="120">
        <f t="shared" si="3"/>
        <v>-747366.18319768319</v>
      </c>
      <c r="J14" s="120">
        <f t="shared" si="3"/>
        <v>-806390.00077760185</v>
      </c>
      <c r="K14" s="120">
        <f t="shared" si="3"/>
        <v>-870067.07140009489</v>
      </c>
      <c r="L14" s="120">
        <f t="shared" si="3"/>
        <v>-938763.6076208587</v>
      </c>
      <c r="M14" s="120">
        <f t="shared" si="3"/>
        <v>-1012874.9129047362</v>
      </c>
      <c r="N14" s="120">
        <f t="shared" si="3"/>
        <v>-894771.47451643436</v>
      </c>
      <c r="O14" s="120">
        <f t="shared" si="3"/>
        <v>-1179079.4645318298</v>
      </c>
      <c r="P14" s="120">
        <f t="shared" si="3"/>
        <v>-1272128.2107812348</v>
      </c>
      <c r="Q14" s="120">
        <f t="shared" si="3"/>
        <v>-1372508.3852754447</v>
      </c>
      <c r="R14" s="120">
        <f t="shared" si="3"/>
        <v>-1480795.5280285231</v>
      </c>
      <c r="S14" s="120">
        <f t="shared" si="3"/>
        <v>-1597613.0345348017</v>
      </c>
      <c r="T14" s="120">
        <f t="shared" si="3"/>
        <v>-1723631.0934350803</v>
      </c>
      <c r="U14" s="120">
        <f t="shared" si="3"/>
        <v>-1859573.7795094969</v>
      </c>
      <c r="V14" s="120">
        <f t="shared" si="3"/>
        <v>-2006221.274185685</v>
      </c>
      <c r="W14" s="120">
        <f t="shared" si="3"/>
        <v>-2164415.8030979796</v>
      </c>
      <c r="X14" s="120">
        <f t="shared" si="3"/>
        <v>-2335064.9940615054</v>
      </c>
      <c r="Y14" s="120">
        <f t="shared" si="3"/>
        <v>-2519147.758435254</v>
      </c>
      <c r="Z14" s="120">
        <f t="shared" si="3"/>
        <v>-2717721.4293912118</v>
      </c>
      <c r="AA14" s="120">
        <f t="shared" si="3"/>
        <v>-2931923.9514002516</v>
      </c>
      <c r="AB14" s="120">
        <f t="shared" si="3"/>
        <v>-3162984.1133214692</v>
      </c>
    </row>
    <row r="15" spans="1:28" s="39" customFormat="1">
      <c r="A15" s="14" t="s">
        <v>468</v>
      </c>
      <c r="B15" s="14"/>
      <c r="C15" s="120">
        <f>SUM(C12:C14)</f>
        <v>0</v>
      </c>
      <c r="D15" s="120">
        <f t="shared" ref="D15:AB15" si="4">SUM(D12:D14)</f>
        <v>-1373346.6387300517</v>
      </c>
      <c r="E15" s="120">
        <f t="shared" si="4"/>
        <v>-2151355.1205646917</v>
      </c>
      <c r="F15" s="120">
        <f t="shared" si="4"/>
        <v>-2319636.513914316</v>
      </c>
      <c r="G15" s="120">
        <f t="shared" si="4"/>
        <v>-2501075.0490949852</v>
      </c>
      <c r="H15" s="120">
        <f t="shared" si="4"/>
        <v>-2696696.8019001596</v>
      </c>
      <c r="I15" s="120">
        <f t="shared" si="4"/>
        <v>-2907611.6912528202</v>
      </c>
      <c r="J15" s="120">
        <f t="shared" si="4"/>
        <v>-3135014.5541555299</v>
      </c>
      <c r="K15" s="120">
        <f t="shared" si="4"/>
        <v>-3380193.1599868573</v>
      </c>
      <c r="L15" s="120">
        <f t="shared" si="4"/>
        <v>-3644536.0971154026</v>
      </c>
      <c r="M15" s="120">
        <f t="shared" si="4"/>
        <v>-3929541.4863640792</v>
      </c>
      <c r="N15" s="120">
        <f t="shared" si="4"/>
        <v>-3995768.7738157157</v>
      </c>
      <c r="O15" s="120">
        <f t="shared" si="4"/>
        <v>-4568121.2787069036</v>
      </c>
      <c r="P15" s="120">
        <f t="shared" si="4"/>
        <v>-4925312.6644866597</v>
      </c>
      <c r="Q15" s="120">
        <f t="shared" si="4"/>
        <v>-5310421.6150661167</v>
      </c>
      <c r="R15" s="120">
        <f t="shared" si="4"/>
        <v>-5725624.5773954652</v>
      </c>
      <c r="S15" s="120">
        <f t="shared" si="4"/>
        <v>-6173277.3935581669</v>
      </c>
      <c r="T15" s="120">
        <f t="shared" si="4"/>
        <v>-6655912.032062171</v>
      </c>
      <c r="U15" s="120">
        <f t="shared" si="4"/>
        <v>-7176262.5976594677</v>
      </c>
      <c r="V15" s="120">
        <f t="shared" si="4"/>
        <v>-7737273.910720801</v>
      </c>
      <c r="W15" s="120">
        <f t="shared" si="4"/>
        <v>-8342123.4569384791</v>
      </c>
      <c r="X15" s="120">
        <f t="shared" si="4"/>
        <v>-8994234.1335604936</v>
      </c>
      <c r="Y15" s="120">
        <f t="shared" si="4"/>
        <v>-9697296.0921664163</v>
      </c>
      <c r="Z15" s="120">
        <f t="shared" si="4"/>
        <v>-10455293.140358606</v>
      </c>
      <c r="AA15" s="120">
        <f t="shared" si="4"/>
        <v>-11272511.45532186</v>
      </c>
      <c r="AB15" s="120">
        <f t="shared" si="4"/>
        <v>-12153577.197661411</v>
      </c>
    </row>
    <row r="16" spans="1:28" s="39" customFormat="1">
      <c r="A16" s="117" t="s">
        <v>450</v>
      </c>
      <c r="B16" s="115"/>
      <c r="C16" s="116" t="s">
        <v>189</v>
      </c>
      <c r="D16" s="116" t="s">
        <v>190</v>
      </c>
      <c r="E16" s="116" t="s">
        <v>191</v>
      </c>
      <c r="F16" s="116" t="s">
        <v>192</v>
      </c>
      <c r="G16" s="116" t="s">
        <v>193</v>
      </c>
      <c r="H16" s="116" t="s">
        <v>194</v>
      </c>
      <c r="I16" s="116" t="s">
        <v>195</v>
      </c>
      <c r="J16" s="116" t="s">
        <v>196</v>
      </c>
      <c r="K16" s="116" t="s">
        <v>197</v>
      </c>
      <c r="L16" s="116" t="s">
        <v>198</v>
      </c>
      <c r="M16" s="116" t="s">
        <v>199</v>
      </c>
      <c r="N16" s="116" t="s">
        <v>210</v>
      </c>
      <c r="O16" s="116" t="s">
        <v>211</v>
      </c>
      <c r="P16" s="116" t="s">
        <v>212</v>
      </c>
      <c r="Q16" s="116" t="s">
        <v>213</v>
      </c>
      <c r="R16" s="116" t="s">
        <v>214</v>
      </c>
      <c r="S16" s="116" t="s">
        <v>215</v>
      </c>
      <c r="T16" s="116" t="s">
        <v>216</v>
      </c>
      <c r="U16" s="116" t="s">
        <v>217</v>
      </c>
      <c r="V16" s="116" t="s">
        <v>218</v>
      </c>
      <c r="W16" s="116" t="s">
        <v>219</v>
      </c>
      <c r="X16" s="116" t="s">
        <v>220</v>
      </c>
      <c r="Y16" s="116" t="s">
        <v>221</v>
      </c>
      <c r="Z16" s="116" t="s">
        <v>222</v>
      </c>
      <c r="AA16" s="116" t="s">
        <v>223</v>
      </c>
      <c r="AB16" s="116" t="s">
        <v>224</v>
      </c>
    </row>
    <row r="17" spans="1:34" s="39" customFormat="1">
      <c r="A17" s="14" t="s">
        <v>540</v>
      </c>
      <c r="B17" s="14"/>
      <c r="C17" s="120">
        <f>SUM(DRE!C4:C5)</f>
        <v>0</v>
      </c>
      <c r="D17" s="120">
        <f>SUM(DRE!D4:D5)</f>
        <v>7597293.5341740604</v>
      </c>
      <c r="E17" s="120">
        <f>SUM(DRE!E4:E5)</f>
        <v>8185443.0936229248</v>
      </c>
      <c r="F17" s="120">
        <f>SUM(DRE!F4:F5)</f>
        <v>8819152.3659423254</v>
      </c>
      <c r="G17" s="120">
        <f>SUM(DRE!G4:G5)</f>
        <v>9501952.8276022021</v>
      </c>
      <c r="H17" s="120">
        <f>SUM(DRE!H4:H5)</f>
        <v>10237648.630242333</v>
      </c>
      <c r="I17" s="120">
        <f>SUM(DRE!I4:I5)</f>
        <v>11030340.634731328</v>
      </c>
      <c r="J17" s="120">
        <f>SUM(DRE!J4:J5)</f>
        <v>11884446.143220099</v>
      </c>
      <c r="K17" s="120">
        <f>SUM(DRE!K4:K5)</f>
        <v>12804726.298011489</v>
      </c>
      <c r="L17" s="120">
        <f>SUM(DRE!L4:L5)</f>
        <v>13796310.377197454</v>
      </c>
      <c r="M17" s="120">
        <f>SUM(DRE!M4:M5)</f>
        <v>14864726.136661248</v>
      </c>
      <c r="N17" s="120">
        <f>SUM(DRE!N4:N5)</f>
        <v>16015929.578610787</v>
      </c>
      <c r="O17" s="120">
        <f>SUM(DRE!O4:O5)</f>
        <v>17256339.482666876</v>
      </c>
      <c r="P17" s="120">
        <f>SUM(DRE!P4:P5)</f>
        <v>18592872.00852577</v>
      </c>
      <c r="Q17" s="120">
        <f>SUM(DRE!Q4:Q5)</f>
        <v>20032979.146782715</v>
      </c>
      <c r="R17" s="120">
        <f>SUM(DRE!R4:R5)</f>
        <v>21584691.2996969</v>
      </c>
      <c r="S17" s="120">
        <f>SUM(DRE!S4:S5)</f>
        <v>23256662.908391654</v>
      </c>
      <c r="T17" s="120">
        <f>SUM(DRE!T4:T5)</f>
        <v>25058218.509214297</v>
      </c>
      <c r="U17" s="120">
        <f>SUM(DRE!U4:U5)</f>
        <v>26999405.804579545</v>
      </c>
      <c r="V17" s="120">
        <f>SUM(DRE!V4:V5)</f>
        <v>29091052.509852514</v>
      </c>
      <c r="W17" s="120">
        <f>SUM(DRE!W4:W5)</f>
        <v>31344827.047771223</v>
      </c>
      <c r="X17" s="120">
        <f>SUM(DRE!X4:X5)</f>
        <v>33773301.35979712</v>
      </c>
      <c r="Y17" s="120">
        <f>SUM(DRE!Y4:Y5)</f>
        <v>36390024.282164745</v>
      </c>
      <c r="Z17" s="120">
        <f>SUM(DRE!Z4:Z5)</f>
        <v>39209594.802785955</v>
      </c>
      <c r="AA17" s="120">
        <f>SUM(DRE!AA4:AA5)</f>
        <v>42247746.478778087</v>
      </c>
      <c r="AB17" s="120">
        <f>SUM(DRE!AB4:AB5)</f>
        <v>45521429.158086464</v>
      </c>
    </row>
    <row r="18" spans="1:34" s="39" customFormat="1">
      <c r="A18" s="14" t="s">
        <v>463</v>
      </c>
      <c r="B18" s="14"/>
      <c r="C18" s="120"/>
      <c r="D18" s="120">
        <f>-'Custos de Operação'!C$6-'Custos de Operação'!C$26-'Invest. em Pre e Implantação'!$F$80</f>
        <v>-15813141.240000002</v>
      </c>
      <c r="E18" s="120">
        <f>-'Custos de Operação'!D$6-'Custos de Operação'!D$26</f>
        <v>-968849.16479999991</v>
      </c>
      <c r="F18" s="120">
        <f>-'Custos de Operação'!E$6-'Custos de Operação'!E$26</f>
        <v>-1035893.5270041598</v>
      </c>
      <c r="G18" s="120">
        <f>-'Custos de Operação'!F$6-'Custos de Operação'!F$26</f>
        <v>-1107577.3590728475</v>
      </c>
      <c r="H18" s="120">
        <f>-'Custos de Operação'!G$6-'Custos de Operação'!G$26</f>
        <v>-1184221.7123206886</v>
      </c>
      <c r="I18" s="120">
        <f>-'Custos de Operação'!H$6-'Custos de Operação'!H$26</f>
        <v>-1266169.85481328</v>
      </c>
      <c r="J18" s="120">
        <f>-'Custos de Operação'!I$6-'Custos de Operação'!I$26</f>
        <v>-1353788.8087663592</v>
      </c>
      <c r="K18" s="120">
        <f>-'Custos de Operação'!J$6-'Custos de Operação'!J$26</f>
        <v>-1447470.9943329911</v>
      </c>
      <c r="L18" s="120">
        <f>-'Custos de Operação'!K$6-'Custos de Operação'!K$26</f>
        <v>-1547635.9871408341</v>
      </c>
      <c r="M18" s="120">
        <f>-'Custos de Operação'!L$6-'Custos de Operação'!L$26</f>
        <v>-1654732.3974509798</v>
      </c>
      <c r="N18" s="120">
        <f>-'Custos de Operação'!M$6-'Custos de Operação'!M$26-Reinvestimento!$I$18</f>
        <v>-4375233.9184404975</v>
      </c>
      <c r="O18" s="120">
        <f>-'Custos de Operação'!N$6-'Custos de Operação'!N$26</f>
        <v>-1891671.2790059247</v>
      </c>
      <c r="P18" s="120">
        <f>-'Custos de Operação'!O$6-'Custos de Operação'!O$26</f>
        <v>-2022574.9315131344</v>
      </c>
      <c r="Q18" s="120">
        <f>-'Custos de Operação'!P$6-'Custos de Operação'!P$26</f>
        <v>-2162537.1167738433</v>
      </c>
      <c r="R18" s="120">
        <f>-'Custos de Operação'!Q$6-'Custos de Operação'!Q$26</f>
        <v>-2312184.6852545929</v>
      </c>
      <c r="S18" s="120">
        <f>-'Custos de Operação'!R$6-'Custos de Operação'!R$26</f>
        <v>-2472187.8654742106</v>
      </c>
      <c r="T18" s="120">
        <f>-'Custos de Operação'!S$6-'Custos de Operação'!S$26</f>
        <v>-2643263.2657650257</v>
      </c>
      <c r="U18" s="120">
        <f>-'Custos de Operação'!T$6-'Custos de Operação'!T$26</f>
        <v>-2826177.0837559653</v>
      </c>
      <c r="V18" s="120">
        <f>-'Custos de Operação'!U$6-'Custos de Operação'!U$26</f>
        <v>-3021748.5379518778</v>
      </c>
      <c r="W18" s="120">
        <f>-'Custos de Operação'!V$6-'Custos de Operação'!V$26</f>
        <v>-3230853.5367781478</v>
      </c>
      <c r="X18" s="120">
        <f>-'Custos de Operação'!W$6-'Custos de Operação'!W$26</f>
        <v>-3454428.6015231954</v>
      </c>
      <c r="Y18" s="120">
        <f>-'Custos de Operação'!X$6-'Custos de Operação'!X$26</f>
        <v>-3693475.0607486004</v>
      </c>
      <c r="Z18" s="120">
        <f>-'Custos de Operação'!Y$6-'Custos de Operação'!Y$26</f>
        <v>-3949063.534952403</v>
      </c>
      <c r="AA18" s="120">
        <f>-'Custos de Operação'!Z$6-'Custos de Operação'!Z$26</f>
        <v>-4222338.731571109</v>
      </c>
      <c r="AB18" s="120">
        <f>-'Custos de Operação'!AA$6-'Custos de Operação'!AA$26</f>
        <v>-4514524.5717958286</v>
      </c>
    </row>
    <row r="19" spans="1:34" s="39" customFormat="1">
      <c r="A19" s="14" t="s">
        <v>464</v>
      </c>
      <c r="B19" s="14"/>
      <c r="C19" s="120"/>
      <c r="D19" s="120">
        <f>-'Custos de Operação'!C$6-'Custos de Operação'!C$26-'Invest. em Pre e Implantação'!$F$80</f>
        <v>-15813141.240000002</v>
      </c>
      <c r="E19" s="120">
        <f>-'Custos de Operação'!D$6-'Custos de Operação'!D$26</f>
        <v>-968849.16479999991</v>
      </c>
      <c r="F19" s="120">
        <f>-'Custos de Operação'!E$6-'Custos de Operação'!E$26</f>
        <v>-1035893.5270041598</v>
      </c>
      <c r="G19" s="120">
        <f>-'Custos de Operação'!F$6-'Custos de Operação'!F$26</f>
        <v>-1107577.3590728475</v>
      </c>
      <c r="H19" s="120">
        <f>-'Custos de Operação'!G$6-'Custos de Operação'!G$26</f>
        <v>-1184221.7123206886</v>
      </c>
      <c r="I19" s="120">
        <f>-'Custos de Operação'!H$6-'Custos de Operação'!H$26</f>
        <v>-1266169.85481328</v>
      </c>
      <c r="J19" s="120">
        <f>-'Custos de Operação'!I$6-'Custos de Operação'!I$26</f>
        <v>-1353788.8087663592</v>
      </c>
      <c r="K19" s="120">
        <f>-'Custos de Operação'!J$6-'Custos de Operação'!J$26</f>
        <v>-1447470.9943329911</v>
      </c>
      <c r="L19" s="120">
        <f>-'Custos de Operação'!K$6-'Custos de Operação'!K$26</f>
        <v>-1547635.9871408341</v>
      </c>
      <c r="M19" s="120">
        <f>-'Custos de Operação'!L$6-'Custos de Operação'!L$26</f>
        <v>-1654732.3974509798</v>
      </c>
      <c r="N19" s="120">
        <f>-'Custos de Operação'!M$6-'Custos de Operação'!M$26-Reinvestimento!$I$18</f>
        <v>-4375233.9184404975</v>
      </c>
      <c r="O19" s="120">
        <f>-'Custos de Operação'!N$6-'Custos de Operação'!N$26</f>
        <v>-1891671.2790059247</v>
      </c>
      <c r="P19" s="120">
        <f>-'Custos de Operação'!O$6-'Custos de Operação'!O$26</f>
        <v>-2022574.9315131344</v>
      </c>
      <c r="Q19" s="120">
        <f>-'Custos de Operação'!P$6-'Custos de Operação'!P$26</f>
        <v>-2162537.1167738433</v>
      </c>
      <c r="R19" s="120">
        <f>-'Custos de Operação'!Q$6-'Custos de Operação'!Q$26</f>
        <v>-2312184.6852545929</v>
      </c>
      <c r="S19" s="120">
        <f>-'Custos de Operação'!R$6-'Custos de Operação'!R$26</f>
        <v>-2472187.8654742106</v>
      </c>
      <c r="T19" s="120">
        <f>-'Custos de Operação'!S$6-'Custos de Operação'!S$26</f>
        <v>-2643263.2657650257</v>
      </c>
      <c r="U19" s="120">
        <f>-'Custos de Operação'!T$6-'Custos de Operação'!T$26</f>
        <v>-2826177.0837559653</v>
      </c>
      <c r="V19" s="120">
        <f>-'Custos de Operação'!U$6-'Custos de Operação'!U$26</f>
        <v>-3021748.5379518778</v>
      </c>
      <c r="W19" s="120">
        <f>-'Custos de Operação'!V$6-'Custos de Operação'!V$26</f>
        <v>-3230853.5367781478</v>
      </c>
      <c r="X19" s="120">
        <f>-'Custos de Operação'!W$6-'Custos de Operação'!W$26</f>
        <v>-3454428.6015231954</v>
      </c>
      <c r="Y19" s="120">
        <f>-'Custos de Operação'!X$6-'Custos de Operação'!X$26</f>
        <v>-3693475.0607486004</v>
      </c>
      <c r="Z19" s="120">
        <f>-'Custos de Operação'!Y$6-'Custos de Operação'!Y$26</f>
        <v>-3949063.534952403</v>
      </c>
      <c r="AA19" s="120">
        <f>-'Custos de Operação'!Z$6-'Custos de Operação'!Z$26</f>
        <v>-4222338.731571109</v>
      </c>
      <c r="AB19" s="120">
        <f>-'Custos de Operação'!AA$6-'Custos de Operação'!AA$26</f>
        <v>-4514524.5717958286</v>
      </c>
    </row>
    <row r="20" spans="1:34" s="39" customFormat="1">
      <c r="A20" s="14" t="s">
        <v>469</v>
      </c>
      <c r="B20" s="14"/>
      <c r="C20" s="120">
        <f>-$E2*C17</f>
        <v>0</v>
      </c>
      <c r="D20" s="120">
        <f>-$E2*D17</f>
        <v>-379864.67670870305</v>
      </c>
      <c r="E20" s="120">
        <f t="shared" ref="E20:AB20" si="5">-$E2*E17</f>
        <v>-409272.15468114626</v>
      </c>
      <c r="F20" s="120">
        <f t="shared" si="5"/>
        <v>-440957.61829711631</v>
      </c>
      <c r="G20" s="120">
        <f t="shared" si="5"/>
        <v>-475097.64138011012</v>
      </c>
      <c r="H20" s="120">
        <f t="shared" si="5"/>
        <v>-511882.43151211669</v>
      </c>
      <c r="I20" s="120">
        <f t="shared" si="5"/>
        <v>-551517.03173656645</v>
      </c>
      <c r="J20" s="120">
        <f t="shared" si="5"/>
        <v>-594222.30716100498</v>
      </c>
      <c r="K20" s="120">
        <f t="shared" si="5"/>
        <v>-640236.31490057451</v>
      </c>
      <c r="L20" s="120">
        <f t="shared" si="5"/>
        <v>-689815.51885987271</v>
      </c>
      <c r="M20" s="120">
        <f t="shared" si="5"/>
        <v>-743236.30683306244</v>
      </c>
      <c r="N20" s="120">
        <f t="shared" si="5"/>
        <v>-800796.47893053945</v>
      </c>
      <c r="O20" s="120">
        <f t="shared" si="5"/>
        <v>-862816.9741333439</v>
      </c>
      <c r="P20" s="120">
        <f t="shared" si="5"/>
        <v>-929643.60042628855</v>
      </c>
      <c r="Q20" s="120">
        <f t="shared" si="5"/>
        <v>-1001648.9573391358</v>
      </c>
      <c r="R20" s="120">
        <f t="shared" si="5"/>
        <v>-1079234.564984845</v>
      </c>
      <c r="S20" s="120">
        <f t="shared" si="5"/>
        <v>-1162833.1454195827</v>
      </c>
      <c r="T20" s="120">
        <f t="shared" si="5"/>
        <v>-1252910.9254607148</v>
      </c>
      <c r="U20" s="120">
        <f t="shared" si="5"/>
        <v>-1349970.2902289773</v>
      </c>
      <c r="V20" s="120">
        <f t="shared" si="5"/>
        <v>-1454552.6254926259</v>
      </c>
      <c r="W20" s="120">
        <f t="shared" si="5"/>
        <v>-1567241.3523885612</v>
      </c>
      <c r="X20" s="120">
        <f t="shared" si="5"/>
        <v>-1688665.067989856</v>
      </c>
      <c r="Y20" s="120">
        <f t="shared" si="5"/>
        <v>-1819501.2141082373</v>
      </c>
      <c r="Z20" s="120">
        <f t="shared" si="5"/>
        <v>-1960479.7401392979</v>
      </c>
      <c r="AA20" s="120">
        <f t="shared" si="5"/>
        <v>-2112387.3239389043</v>
      </c>
      <c r="AB20" s="120">
        <f t="shared" si="5"/>
        <v>-2276071.4579043235</v>
      </c>
    </row>
    <row r="21" spans="1:34" s="39" customFormat="1">
      <c r="A21" s="14" t="s">
        <v>466</v>
      </c>
      <c r="B21" s="14"/>
      <c r="C21" s="120">
        <f>-$E3*(C$17-C18)</f>
        <v>0</v>
      </c>
      <c r="D21" s="120">
        <f>IF(D$17+D18&gt;0,-$E3*(D$17+D18),0)</f>
        <v>0</v>
      </c>
      <c r="E21" s="120">
        <f t="shared" ref="E21:AB21" si="6">IF(E$17+E18&gt;0,-$E3*(E$17+E18),0)</f>
        <v>-119073.79982557827</v>
      </c>
      <c r="F21" s="120">
        <f t="shared" si="6"/>
        <v>-128423.77084247973</v>
      </c>
      <c r="G21" s="120">
        <f t="shared" si="6"/>
        <v>-138507.19523073436</v>
      </c>
      <c r="H21" s="120">
        <f t="shared" si="6"/>
        <v>-149381.54414570713</v>
      </c>
      <c r="I21" s="120">
        <f t="shared" si="6"/>
        <v>-161108.81786864781</v>
      </c>
      <c r="J21" s="120">
        <f t="shared" si="6"/>
        <v>-173755.84601848671</v>
      </c>
      <c r="K21" s="120">
        <f t="shared" si="6"/>
        <v>-187394.71251069522</v>
      </c>
      <c r="L21" s="120">
        <f t="shared" si="6"/>
        <v>-202103.12743593424</v>
      </c>
      <c r="M21" s="120">
        <f t="shared" si="6"/>
        <v>-217964.89669696943</v>
      </c>
      <c r="N21" s="120">
        <f t="shared" si="6"/>
        <v>-192071.4783928098</v>
      </c>
      <c r="O21" s="120">
        <f t="shared" si="6"/>
        <v>-253517.02536040571</v>
      </c>
      <c r="P21" s="120">
        <f t="shared" si="6"/>
        <v>-273409.9017707085</v>
      </c>
      <c r="Q21" s="120">
        <f t="shared" si="6"/>
        <v>-294862.29349514638</v>
      </c>
      <c r="R21" s="120">
        <f t="shared" si="6"/>
        <v>-317996.35913829808</v>
      </c>
      <c r="S21" s="120">
        <f t="shared" si="6"/>
        <v>-342943.83820813784</v>
      </c>
      <c r="T21" s="120">
        <f t="shared" si="6"/>
        <v>-369846.76151691296</v>
      </c>
      <c r="U21" s="120">
        <f t="shared" si="6"/>
        <v>-398858.27389358904</v>
      </c>
      <c r="V21" s="120">
        <f t="shared" si="6"/>
        <v>-430143.5155363605</v>
      </c>
      <c r="W21" s="120">
        <f t="shared" si="6"/>
        <v>-463880.56293138576</v>
      </c>
      <c r="X21" s="120">
        <f t="shared" si="6"/>
        <v>-500261.40051151981</v>
      </c>
      <c r="Y21" s="120">
        <f t="shared" si="6"/>
        <v>-539493.06215336639</v>
      </c>
      <c r="Z21" s="120">
        <f t="shared" si="6"/>
        <v>-581798.7659192537</v>
      </c>
      <c r="AA21" s="120">
        <f t="shared" si="6"/>
        <v>-627419.22782891523</v>
      </c>
      <c r="AB21" s="120">
        <f t="shared" si="6"/>
        <v>-676613.92567379551</v>
      </c>
    </row>
    <row r="22" spans="1:34">
      <c r="A22" s="14" t="s">
        <v>467</v>
      </c>
      <c r="B22" s="14"/>
      <c r="C22" s="120">
        <f>-$E4*(C$17-C19)</f>
        <v>0</v>
      </c>
      <c r="D22" s="120">
        <f>IF(D$17+D19&gt;0,-$E4*(D$17+D19),0)</f>
        <v>0</v>
      </c>
      <c r="E22" s="120">
        <f t="shared" ref="E22:AB22" si="7">IF(E$17+E19&gt;0,-$E4*(E$17+E19),0)</f>
        <v>-548461.13859054237</v>
      </c>
      <c r="F22" s="120">
        <f t="shared" si="7"/>
        <v>-591527.67175930052</v>
      </c>
      <c r="G22" s="120">
        <f t="shared" si="7"/>
        <v>-637972.53560823097</v>
      </c>
      <c r="H22" s="120">
        <f t="shared" si="7"/>
        <v>-688060.44576204487</v>
      </c>
      <c r="I22" s="120">
        <f t="shared" si="7"/>
        <v>-742076.97927377163</v>
      </c>
      <c r="J22" s="120">
        <f t="shared" si="7"/>
        <v>-800329.95741848415</v>
      </c>
      <c r="K22" s="120">
        <f t="shared" si="7"/>
        <v>-863151.40307956585</v>
      </c>
      <c r="L22" s="120">
        <f t="shared" si="7"/>
        <v>-930899.25364430307</v>
      </c>
      <c r="M22" s="120">
        <f t="shared" si="7"/>
        <v>-1003959.5241799804</v>
      </c>
      <c r="N22" s="120">
        <f t="shared" si="7"/>
        <v>-884692.87017294206</v>
      </c>
      <c r="O22" s="120">
        <f t="shared" si="7"/>
        <v>-1167714.7834782323</v>
      </c>
      <c r="P22" s="120">
        <f t="shared" si="7"/>
        <v>-1259342.5778529602</v>
      </c>
      <c r="Q22" s="120">
        <f t="shared" si="7"/>
        <v>-1358153.5942806741</v>
      </c>
      <c r="R22" s="120">
        <f t="shared" si="7"/>
        <v>-1464710.5026976154</v>
      </c>
      <c r="S22" s="120">
        <f t="shared" si="7"/>
        <v>-1579620.1032617257</v>
      </c>
      <c r="T22" s="120">
        <f t="shared" si="7"/>
        <v>-1703536.5985021445</v>
      </c>
      <c r="U22" s="120">
        <f t="shared" si="7"/>
        <v>-1837165.382782592</v>
      </c>
      <c r="V22" s="120">
        <f t="shared" si="7"/>
        <v>-1981267.1018644483</v>
      </c>
      <c r="W22" s="120">
        <f t="shared" si="7"/>
        <v>-2136661.9868354737</v>
      </c>
      <c r="X22" s="120">
        <f t="shared" si="7"/>
        <v>-2304234.3296288182</v>
      </c>
      <c r="Y22" s="120">
        <f t="shared" si="7"/>
        <v>-2484937.740827627</v>
      </c>
      <c r="Z22" s="120">
        <f t="shared" si="7"/>
        <v>-2679800.37635535</v>
      </c>
      <c r="AA22" s="120">
        <f t="shared" si="7"/>
        <v>-2889930.9887877302</v>
      </c>
      <c r="AB22" s="120">
        <f t="shared" si="7"/>
        <v>-3116524.7485580882</v>
      </c>
    </row>
    <row r="23" spans="1:34" s="39" customFormat="1">
      <c r="A23" s="14" t="s">
        <v>470</v>
      </c>
      <c r="B23" s="14"/>
      <c r="C23" s="120">
        <f>SUM(C20:C22)</f>
        <v>0</v>
      </c>
      <c r="D23" s="120">
        <f t="shared" ref="D23:AB23" si="8">SUM(D20:D22)</f>
        <v>-379864.67670870305</v>
      </c>
      <c r="E23" s="120">
        <f t="shared" si="8"/>
        <v>-1076807.0930972667</v>
      </c>
      <c r="F23" s="120">
        <f t="shared" si="8"/>
        <v>-1160909.0608988965</v>
      </c>
      <c r="G23" s="120">
        <f t="shared" si="8"/>
        <v>-1251577.3722190754</v>
      </c>
      <c r="H23" s="120">
        <f t="shared" si="8"/>
        <v>-1349324.4214198687</v>
      </c>
      <c r="I23" s="120">
        <f t="shared" si="8"/>
        <v>-1454702.828878986</v>
      </c>
      <c r="J23" s="120">
        <f t="shared" si="8"/>
        <v>-1568308.1105979758</v>
      </c>
      <c r="K23" s="120">
        <f t="shared" si="8"/>
        <v>-1690782.4304908356</v>
      </c>
      <c r="L23" s="120">
        <f t="shared" si="8"/>
        <v>-1822817.89994011</v>
      </c>
      <c r="M23" s="120">
        <f t="shared" si="8"/>
        <v>-1965160.7277100123</v>
      </c>
      <c r="N23" s="120">
        <f t="shared" si="8"/>
        <v>-1877560.8274962914</v>
      </c>
      <c r="O23" s="120">
        <f t="shared" si="8"/>
        <v>-2284048.7829719819</v>
      </c>
      <c r="P23" s="120">
        <f t="shared" si="8"/>
        <v>-2462396.0800499571</v>
      </c>
      <c r="Q23" s="120">
        <f t="shared" si="8"/>
        <v>-2654664.8451149566</v>
      </c>
      <c r="R23" s="120">
        <f t="shared" si="8"/>
        <v>-2861941.4268207587</v>
      </c>
      <c r="S23" s="120">
        <f t="shared" si="8"/>
        <v>-3085397.0868894462</v>
      </c>
      <c r="T23" s="120">
        <f t="shared" si="8"/>
        <v>-3326294.2854797719</v>
      </c>
      <c r="U23" s="120">
        <f t="shared" si="8"/>
        <v>-3585993.9469051585</v>
      </c>
      <c r="V23" s="120">
        <f t="shared" si="8"/>
        <v>-3865963.2428934346</v>
      </c>
      <c r="W23" s="120">
        <f t="shared" si="8"/>
        <v>-4167783.9021554207</v>
      </c>
      <c r="X23" s="120">
        <f t="shared" si="8"/>
        <v>-4493160.7981301937</v>
      </c>
      <c r="Y23" s="120">
        <f t="shared" si="8"/>
        <v>-4843932.0170892309</v>
      </c>
      <c r="Z23" s="120">
        <f t="shared" si="8"/>
        <v>-5222078.8824139014</v>
      </c>
      <c r="AA23" s="120">
        <f t="shared" si="8"/>
        <v>-5629737.5405555498</v>
      </c>
      <c r="AB23" s="120">
        <f t="shared" si="8"/>
        <v>-6069210.1321362071</v>
      </c>
    </row>
    <row r="24" spans="1:34" s="39" customFormat="1">
      <c r="A24" s="117" t="s">
        <v>471</v>
      </c>
      <c r="B24" s="117"/>
      <c r="C24" s="118">
        <f>C15+C23</f>
        <v>0</v>
      </c>
      <c r="D24" s="118">
        <f t="shared" ref="D24:AB24" si="9">D15+D23</f>
        <v>-1753211.3154387549</v>
      </c>
      <c r="E24" s="118">
        <f t="shared" si="9"/>
        <v>-3228162.2136619585</v>
      </c>
      <c r="F24" s="118">
        <f t="shared" si="9"/>
        <v>-3480545.5748132123</v>
      </c>
      <c r="G24" s="118">
        <f t="shared" si="9"/>
        <v>-3752652.4213140607</v>
      </c>
      <c r="H24" s="118">
        <f t="shared" si="9"/>
        <v>-4046021.2233200283</v>
      </c>
      <c r="I24" s="118">
        <f t="shared" si="9"/>
        <v>-4362314.5201318059</v>
      </c>
      <c r="J24" s="118">
        <f t="shared" si="9"/>
        <v>-4703322.664753506</v>
      </c>
      <c r="K24" s="118">
        <f t="shared" si="9"/>
        <v>-5070975.5904776929</v>
      </c>
      <c r="L24" s="118">
        <f t="shared" si="9"/>
        <v>-5467353.9970555129</v>
      </c>
      <c r="M24" s="118">
        <f t="shared" si="9"/>
        <v>-5894702.214074092</v>
      </c>
      <c r="N24" s="118">
        <f t="shared" si="9"/>
        <v>-5873329.6013120068</v>
      </c>
      <c r="O24" s="118">
        <f t="shared" si="9"/>
        <v>-6852170.0616788855</v>
      </c>
      <c r="P24" s="118">
        <f t="shared" si="9"/>
        <v>-7387708.7445366168</v>
      </c>
      <c r="Q24" s="118">
        <f t="shared" si="9"/>
        <v>-7965086.4601810733</v>
      </c>
      <c r="R24" s="118">
        <f t="shared" si="9"/>
        <v>-8587566.004216224</v>
      </c>
      <c r="S24" s="118">
        <f t="shared" si="9"/>
        <v>-9258674.4804476127</v>
      </c>
      <c r="T24" s="118">
        <f t="shared" si="9"/>
        <v>-9982206.317541942</v>
      </c>
      <c r="U24" s="118">
        <f t="shared" si="9"/>
        <v>-10762256.544564627</v>
      </c>
      <c r="V24" s="118">
        <f t="shared" si="9"/>
        <v>-11603237.153614236</v>
      </c>
      <c r="W24" s="118">
        <f t="shared" si="9"/>
        <v>-12509907.359093901</v>
      </c>
      <c r="X24" s="118">
        <f t="shared" si="9"/>
        <v>-13487394.931690687</v>
      </c>
      <c r="Y24" s="118">
        <f t="shared" si="9"/>
        <v>-14541228.109255647</v>
      </c>
      <c r="Z24" s="118">
        <f t="shared" si="9"/>
        <v>-15677372.022772508</v>
      </c>
      <c r="AA24" s="118">
        <f t="shared" si="9"/>
        <v>-16902248.995877407</v>
      </c>
      <c r="AB24" s="118">
        <f t="shared" si="9"/>
        <v>-18222787.329797618</v>
      </c>
    </row>
    <row r="25" spans="1:34" s="39" customFormat="1"/>
    <row r="26" spans="1:34" s="39" customFormat="1"/>
    <row r="27" spans="1:34">
      <c r="A27" s="117" t="s">
        <v>459</v>
      </c>
      <c r="B27" s="115"/>
      <c r="C27" s="116" t="s">
        <v>189</v>
      </c>
      <c r="D27" s="116" t="s">
        <v>190</v>
      </c>
      <c r="E27" s="116" t="s">
        <v>191</v>
      </c>
      <c r="F27" s="116" t="s">
        <v>192</v>
      </c>
      <c r="G27" s="116" t="s">
        <v>193</v>
      </c>
      <c r="H27" s="116" t="s">
        <v>194</v>
      </c>
      <c r="I27" s="116" t="s">
        <v>195</v>
      </c>
      <c r="J27" s="116" t="s">
        <v>196</v>
      </c>
      <c r="K27" s="116" t="s">
        <v>197</v>
      </c>
      <c r="L27" s="116" t="s">
        <v>198</v>
      </c>
      <c r="M27" s="116" t="s">
        <v>199</v>
      </c>
      <c r="N27" s="116" t="s">
        <v>210</v>
      </c>
      <c r="O27" s="116" t="s">
        <v>211</v>
      </c>
      <c r="P27" s="116" t="s">
        <v>212</v>
      </c>
      <c r="Q27" s="116" t="s">
        <v>213</v>
      </c>
      <c r="R27" s="116" t="s">
        <v>214</v>
      </c>
      <c r="S27" s="116" t="s">
        <v>215</v>
      </c>
      <c r="T27" s="116" t="s">
        <v>216</v>
      </c>
      <c r="U27" s="116" t="s">
        <v>217</v>
      </c>
      <c r="V27" s="116" t="s">
        <v>218</v>
      </c>
      <c r="W27" s="116" t="s">
        <v>219</v>
      </c>
      <c r="X27" s="116" t="s">
        <v>220</v>
      </c>
      <c r="Y27" s="116" t="s">
        <v>221</v>
      </c>
      <c r="Z27" s="116" t="s">
        <v>222</v>
      </c>
      <c r="AA27" s="116" t="s">
        <v>223</v>
      </c>
      <c r="AB27" s="116" t="s">
        <v>224</v>
      </c>
    </row>
    <row r="28" spans="1:34">
      <c r="A28" s="14" t="str">
        <f>DRE!A15</f>
        <v>Prejuízo acumulado utilizável no exercício</v>
      </c>
      <c r="B28" s="120">
        <f>DRE!B15</f>
        <v>0</v>
      </c>
      <c r="C28" s="120">
        <f>DRE!C15</f>
        <v>0</v>
      </c>
      <c r="D28" s="120">
        <f>DRE!D15</f>
        <v>0</v>
      </c>
      <c r="E28" s="120">
        <f>DRE!E15</f>
        <v>0</v>
      </c>
      <c r="F28" s="120">
        <f>DRE!F15</f>
        <v>0</v>
      </c>
      <c r="G28" s="120">
        <f>DRE!G15</f>
        <v>0</v>
      </c>
      <c r="H28" s="120">
        <f>DRE!H15</f>
        <v>0</v>
      </c>
      <c r="I28" s="120">
        <f>DRE!I15</f>
        <v>0</v>
      </c>
      <c r="J28" s="120">
        <f>DRE!J15</f>
        <v>0</v>
      </c>
      <c r="K28" s="120">
        <f>DRE!K15</f>
        <v>0</v>
      </c>
      <c r="L28" s="120">
        <f>DRE!L15</f>
        <v>0</v>
      </c>
      <c r="M28" s="120">
        <f>DRE!M15</f>
        <v>0</v>
      </c>
      <c r="N28" s="120">
        <f>DRE!N15</f>
        <v>0</v>
      </c>
      <c r="O28" s="120">
        <f>DRE!O15</f>
        <v>0</v>
      </c>
      <c r="P28" s="120">
        <f>DRE!P15</f>
        <v>0</v>
      </c>
      <c r="Q28" s="120">
        <f>DRE!Q15</f>
        <v>0</v>
      </c>
      <c r="R28" s="120">
        <f>DRE!R15</f>
        <v>0</v>
      </c>
      <c r="S28" s="120">
        <f>DRE!S15</f>
        <v>0</v>
      </c>
      <c r="T28" s="120">
        <f>DRE!T15</f>
        <v>0</v>
      </c>
      <c r="U28" s="120">
        <f>DRE!U15</f>
        <v>0</v>
      </c>
      <c r="V28" s="120">
        <f>DRE!V15</f>
        <v>0</v>
      </c>
      <c r="W28" s="120">
        <f>DRE!W15</f>
        <v>0</v>
      </c>
      <c r="X28" s="120">
        <f>DRE!X15</f>
        <v>0</v>
      </c>
      <c r="Y28" s="120">
        <f>DRE!Y15</f>
        <v>0</v>
      </c>
      <c r="Z28" s="120">
        <f>DRE!Z15</f>
        <v>0</v>
      </c>
      <c r="AA28" s="120">
        <f>DRE!AA15</f>
        <v>0</v>
      </c>
      <c r="AB28" s="120">
        <f>DRE!AB15</f>
        <v>0</v>
      </c>
      <c r="AC28" s="39"/>
      <c r="AD28" s="39"/>
      <c r="AE28" s="39"/>
      <c r="AF28" s="39"/>
      <c r="AG28" s="39"/>
      <c r="AH28" s="39"/>
    </row>
    <row r="29" spans="1:34">
      <c r="A29" s="14" t="str">
        <f>DRE!A16</f>
        <v>Lucro (Prejuízo) acumulado</v>
      </c>
      <c r="B29" s="120">
        <f>DRE!B16</f>
        <v>0</v>
      </c>
      <c r="C29" s="120">
        <f>DRE!C16</f>
        <v>0</v>
      </c>
      <c r="D29" s="120">
        <f>DRE!D16</f>
        <v>0</v>
      </c>
      <c r="E29" s="120">
        <f>DRE!E16</f>
        <v>0</v>
      </c>
      <c r="F29" s="120">
        <f>DRE!F16</f>
        <v>0</v>
      </c>
      <c r="G29" s="120">
        <f>DRE!G16</f>
        <v>0</v>
      </c>
      <c r="H29" s="120">
        <f>DRE!H16</f>
        <v>0</v>
      </c>
      <c r="I29" s="120">
        <f>DRE!I16</f>
        <v>0</v>
      </c>
      <c r="J29" s="120">
        <f>DRE!J16</f>
        <v>0</v>
      </c>
      <c r="K29" s="120">
        <f>DRE!K16</f>
        <v>0</v>
      </c>
      <c r="L29" s="120">
        <f>DRE!L16</f>
        <v>0</v>
      </c>
      <c r="M29" s="120">
        <f>DRE!M16</f>
        <v>0</v>
      </c>
      <c r="N29" s="120">
        <f>DRE!N16</f>
        <v>0</v>
      </c>
      <c r="O29" s="120">
        <f>DRE!O16</f>
        <v>0</v>
      </c>
      <c r="P29" s="120">
        <f>DRE!P16</f>
        <v>0</v>
      </c>
      <c r="Q29" s="120">
        <f>DRE!Q16</f>
        <v>0</v>
      </c>
      <c r="R29" s="120">
        <f>DRE!R16</f>
        <v>0</v>
      </c>
      <c r="S29" s="120">
        <f>DRE!S16</f>
        <v>0</v>
      </c>
      <c r="T29" s="120">
        <f>DRE!T16</f>
        <v>0</v>
      </c>
      <c r="U29" s="120">
        <f>DRE!U16</f>
        <v>0</v>
      </c>
      <c r="V29" s="120">
        <f>DRE!V16</f>
        <v>0</v>
      </c>
      <c r="W29" s="120">
        <f>DRE!W16</f>
        <v>0</v>
      </c>
      <c r="X29" s="120">
        <f>DRE!X16</f>
        <v>0</v>
      </c>
      <c r="Y29" s="120">
        <f>DRE!Y16</f>
        <v>0</v>
      </c>
      <c r="Z29" s="120">
        <f>DRE!Z16</f>
        <v>0</v>
      </c>
      <c r="AA29" s="120">
        <f>DRE!AA16</f>
        <v>0</v>
      </c>
      <c r="AB29" s="120">
        <f>DRE!AB16</f>
        <v>0</v>
      </c>
      <c r="AC29" s="39"/>
      <c r="AD29" s="39"/>
      <c r="AE29" s="39"/>
      <c r="AF29" s="39"/>
      <c r="AG29" s="39"/>
      <c r="AH29" s="39"/>
    </row>
    <row r="30" spans="1:34">
      <c r="A30" s="117" t="str">
        <f>DRE!A19</f>
        <v>EBT</v>
      </c>
      <c r="B30" s="117"/>
      <c r="C30" s="118">
        <f>DRE!C19</f>
        <v>0</v>
      </c>
      <c r="D30" s="118">
        <f>DRE!D19</f>
        <v>3959094.3342544297</v>
      </c>
      <c r="E30" s="118">
        <f>DRE!E19</f>
        <v>3190675.7049096236</v>
      </c>
      <c r="F30" s="118">
        <f>DRE!F19</f>
        <v>3707003.0611461522</v>
      </c>
      <c r="G30" s="118">
        <f>DRE!G19</f>
        <v>4271058.5304254843</v>
      </c>
      <c r="H30" s="118">
        <f>DRE!H19</f>
        <v>4886999.3187746359</v>
      </c>
      <c r="I30" s="118">
        <f>DRE!I19</f>
        <v>5559343.8337621884</v>
      </c>
      <c r="J30" s="118">
        <f>DRE!J19</f>
        <v>6292984.70102908</v>
      </c>
      <c r="K30" s="118">
        <f>DRE!K19</f>
        <v>7093225.5407551741</v>
      </c>
      <c r="L30" s="118">
        <f>DRE!L19</f>
        <v>7965814.3372334344</v>
      </c>
      <c r="M30" s="118">
        <f>DRE!M19</f>
        <v>8916983.5996285528</v>
      </c>
      <c r="N30" s="118">
        <f>DRE!N19</f>
        <v>11587717.79289165</v>
      </c>
      <c r="O30" s="118">
        <f>DRE!O19</f>
        <v>12234753.056001542</v>
      </c>
      <c r="P30" s="118">
        <f>DRE!P19</f>
        <v>13464467.919239322</v>
      </c>
      <c r="Q30" s="118">
        <f>DRE!Q19</f>
        <v>14803340.433294879</v>
      </c>
      <c r="R30" s="118">
        <f>DRE!R19</f>
        <v>16260656.609836826</v>
      </c>
      <c r="S30" s="118">
        <f>DRE!S19</f>
        <v>17846498.176548447</v>
      </c>
      <c r="T30" s="118">
        <f>DRE!T19</f>
        <v>19571761.492654834</v>
      </c>
      <c r="U30" s="118">
        <f>DRE!U19</f>
        <v>21448256.088947218</v>
      </c>
      <c r="V30" s="118">
        <f>DRE!V19</f>
        <v>23488761.322340555</v>
      </c>
      <c r="W30" s="118">
        <f>DRE!W19</f>
        <v>25707119.427931063</v>
      </c>
      <c r="X30" s="118">
        <f>DRE!X19</f>
        <v>28384338.054305714</v>
      </c>
      <c r="Y30" s="118">
        <f>DRE!Y19</f>
        <v>31004564.036901105</v>
      </c>
      <c r="Z30" s="118">
        <f>DRE!Z19</f>
        <v>33851387.443252303</v>
      </c>
      <c r="AA30" s="118">
        <f>DRE!AA19</f>
        <v>36943789.256915055</v>
      </c>
      <c r="AB30" s="118">
        <f>DRE!AB19</f>
        <v>40302318.946746781</v>
      </c>
    </row>
    <row r="31" spans="1:34">
      <c r="A31" s="124" t="s">
        <v>207</v>
      </c>
      <c r="B31" s="189">
        <v>0.34</v>
      </c>
      <c r="C31" s="120">
        <f>-(C30+C28)*$B$31</f>
        <v>0</v>
      </c>
      <c r="D31" s="120">
        <f>IF(D30+D28&lt;0,0,-(D30+D28)*$B$31)</f>
        <v>-1346092.0736465063</v>
      </c>
      <c r="E31" s="120">
        <f>IF(E30+E28&lt;0,0,-(E30+E28)*$B$31)</f>
        <v>-1084829.7396692722</v>
      </c>
      <c r="F31" s="120">
        <f>IF(F30+F28&lt;0,0,-(F30+F28)*$B$31)</f>
        <v>-1260381.0407896917</v>
      </c>
      <c r="G31" s="120">
        <f t="shared" ref="G31:AB31" si="10">IF(G30+G28&lt;0,0,-(G30+G28)*$B$31)</f>
        <v>-1452159.9003446647</v>
      </c>
      <c r="H31" s="120">
        <f t="shared" si="10"/>
        <v>-1661579.7683833763</v>
      </c>
      <c r="I31" s="120">
        <f t="shared" si="10"/>
        <v>-1890176.9034791442</v>
      </c>
      <c r="J31" s="120">
        <f t="shared" si="10"/>
        <v>-2139614.7983498871</v>
      </c>
      <c r="K31" s="120">
        <f t="shared" si="10"/>
        <v>-2411696.6838567592</v>
      </c>
      <c r="L31" s="120">
        <f t="shared" si="10"/>
        <v>-2708376.8746593678</v>
      </c>
      <c r="M31" s="120">
        <f t="shared" si="10"/>
        <v>-3031774.4238737081</v>
      </c>
      <c r="N31" s="120">
        <f t="shared" si="10"/>
        <v>-3939824.0495831612</v>
      </c>
      <c r="O31" s="120">
        <f t="shared" si="10"/>
        <v>-4159816.0390405245</v>
      </c>
      <c r="P31" s="120">
        <f t="shared" si="10"/>
        <v>-4577919.0925413696</v>
      </c>
      <c r="Q31" s="120">
        <f t="shared" si="10"/>
        <v>-5033135.747320259</v>
      </c>
      <c r="R31" s="120">
        <f t="shared" si="10"/>
        <v>-5528623.2473445209</v>
      </c>
      <c r="S31" s="120">
        <f t="shared" si="10"/>
        <v>-6067809.3800264727</v>
      </c>
      <c r="T31" s="120">
        <f t="shared" si="10"/>
        <v>-6654398.9075026438</v>
      </c>
      <c r="U31" s="120">
        <f t="shared" si="10"/>
        <v>-7292407.0702420548</v>
      </c>
      <c r="V31" s="120">
        <f t="shared" si="10"/>
        <v>-7986178.8495957898</v>
      </c>
      <c r="W31" s="120">
        <f t="shared" si="10"/>
        <v>-8740420.6054965612</v>
      </c>
      <c r="X31" s="120">
        <f t="shared" si="10"/>
        <v>-9650674.9384639431</v>
      </c>
      <c r="Y31" s="120">
        <f t="shared" si="10"/>
        <v>-10541551.772546377</v>
      </c>
      <c r="Z31" s="120">
        <f t="shared" si="10"/>
        <v>-11509471.730705785</v>
      </c>
      <c r="AA31" s="120">
        <f t="shared" si="10"/>
        <v>-12560888.347351119</v>
      </c>
      <c r="AB31" s="120">
        <f t="shared" si="10"/>
        <v>-13702788.441893907</v>
      </c>
    </row>
    <row r="47" spans="1:1">
      <c r="A47" s="185" t="s">
        <v>431</v>
      </c>
    </row>
    <row r="48" spans="1:1">
      <c r="A48" s="186"/>
    </row>
    <row r="49" spans="1:1">
      <c r="A49" s="186" t="s">
        <v>423</v>
      </c>
    </row>
    <row r="50" spans="1:1">
      <c r="A50" s="186" t="s">
        <v>424</v>
      </c>
    </row>
    <row r="51" spans="1:1">
      <c r="A51" s="186" t="s">
        <v>425</v>
      </c>
    </row>
    <row r="52" spans="1:1">
      <c r="A52" s="186" t="s">
        <v>426</v>
      </c>
    </row>
    <row r="53" spans="1:1">
      <c r="A53" s="186" t="s">
        <v>427</v>
      </c>
    </row>
    <row r="54" spans="1:1">
      <c r="A54" s="186" t="s">
        <v>428</v>
      </c>
    </row>
    <row r="55" spans="1:1">
      <c r="A55" s="186" t="s">
        <v>429</v>
      </c>
    </row>
    <row r="56" spans="1:1">
      <c r="A56" s="186" t="s">
        <v>430</v>
      </c>
    </row>
  </sheetData>
  <mergeCells count="3">
    <mergeCell ref="A1:B1"/>
    <mergeCell ref="D1:E1"/>
    <mergeCell ref="G1:H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Invest. em Pre e Implantação</vt:lpstr>
      <vt:lpstr>Reinvestimento</vt:lpstr>
      <vt:lpstr>Encerramento e Monitoramento</vt:lpstr>
      <vt:lpstr>Gravimetria</vt:lpstr>
      <vt:lpstr>Receitas</vt:lpstr>
      <vt:lpstr>Pessoal</vt:lpstr>
      <vt:lpstr>Encargos sociais</vt:lpstr>
      <vt:lpstr>Custos de Operação</vt:lpstr>
      <vt:lpstr>Impostos</vt:lpstr>
      <vt:lpstr>Depreciação</vt:lpstr>
      <vt:lpstr>Fin. BNB</vt:lpstr>
      <vt:lpstr>DRE</vt:lpstr>
      <vt:lpstr>Capital de Giro</vt:lpstr>
      <vt:lpstr>Fluxo de Caixa</vt:lpstr>
      <vt:lpstr>Custo de Capital</vt:lpstr>
      <vt:lpstr>Indicadores de rentabilidade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 Pedreira Gonzalez</dc:creator>
  <cp:lastModifiedBy>Microsoft Office User</cp:lastModifiedBy>
  <dcterms:created xsi:type="dcterms:W3CDTF">2018-11-12T14:06:52Z</dcterms:created>
  <dcterms:modified xsi:type="dcterms:W3CDTF">2022-05-27T19:56:21Z</dcterms:modified>
</cp:coreProperties>
</file>